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Щиты 3х6" sheetId="1" r:id="rId4"/>
    <sheet state="visible" name="Скроллеры 2,7х3,7" sheetId="2" r:id="rId5"/>
    <sheet state="visible" name="Суперсайды" sheetId="3" r:id="rId6"/>
    <sheet state="visible" name="Digital" sheetId="4" r:id="rId7"/>
    <sheet state="visible" name="Афишные стенды" sheetId="5" r:id="rId8"/>
    <sheet state="visible" name="Пилоны 1,2х1,8" sheetId="6" r:id="rId9"/>
    <sheet state="visible" name="Брандмауэры" sheetId="7" r:id="rId10"/>
    <sheet state="visible" name="Пиллары 1,4х3тумбы" sheetId="8" r:id="rId11"/>
  </sheets>
  <definedNames/>
  <calcPr/>
</workbook>
</file>

<file path=xl/sharedStrings.xml><?xml version="1.0" encoding="utf-8"?>
<sst xmlns="http://schemas.openxmlformats.org/spreadsheetml/2006/main" count="6210" uniqueCount="2086">
  <si>
    <t xml:space="preserve">КОНТАКТЫ: тел.: (861) 246-33-36, (901) 490-46-46 ra-matina@mail.ru           www.ra-matina.ru </t>
  </si>
  <si>
    <t>!!! КРАСНОДАР    КРАСНОДАРСКИЙ КРАЙ    ЮФО   РОССИЯ!!!</t>
  </si>
  <si>
    <t>код</t>
  </si>
  <si>
    <t>Адрес</t>
  </si>
  <si>
    <t>Ссылка на сайт</t>
  </si>
  <si>
    <t>Сторона</t>
  </si>
  <si>
    <t>Вид конструкции</t>
  </si>
  <si>
    <t>Освещение</t>
  </si>
  <si>
    <t>ЦЕНА</t>
  </si>
  <si>
    <t xml:space="preserve">АДРЕСНАЯ ПРОГРАММА (ЩИТЫ 3Х6) *Статус сторон уточняйте у менеджера                                              </t>
  </si>
  <si>
    <t xml:space="preserve"> Печать: Статика - 5800р., Призма - 8000р.; Монтаж: Статика - 2500р., Призма - 4500р.     </t>
  </si>
  <si>
    <t>UM_147</t>
  </si>
  <si>
    <t>40-летия Победы, 16  (из города)</t>
  </si>
  <si>
    <t>А2</t>
  </si>
  <si>
    <t>призма</t>
  </si>
  <si>
    <t>есть</t>
  </si>
  <si>
    <t>40 500</t>
  </si>
  <si>
    <t>KrbilN004А3</t>
  </si>
  <si>
    <t>А3</t>
  </si>
  <si>
    <t>UM_152</t>
  </si>
  <si>
    <t>40-летия Победы, 54 (в город)</t>
  </si>
  <si>
    <t>Б</t>
  </si>
  <si>
    <t>статика</t>
  </si>
  <si>
    <t>33 500</t>
  </si>
  <si>
    <t>UM_143</t>
  </si>
  <si>
    <t>40-летия Победы, 54/2 (в город)</t>
  </si>
  <si>
    <t>KrbilN011А</t>
  </si>
  <si>
    <t>40-летия Победы, 62 - Российская</t>
  </si>
  <si>
    <t>А</t>
  </si>
  <si>
    <t>UM_171</t>
  </si>
  <si>
    <t>40-летия Победы, 65 (Табрис) (из города)</t>
  </si>
  <si>
    <t>Б1</t>
  </si>
  <si>
    <t>39 500</t>
  </si>
  <si>
    <t>KrbilN012Б3</t>
  </si>
  <si>
    <t>40-летия Победы, 65 (Табрис) из города</t>
  </si>
  <si>
    <t>Б3</t>
  </si>
  <si>
    <t>KrbilN010А3</t>
  </si>
  <si>
    <t>40-летия Победы, напротив №54  (институт культуры)</t>
  </si>
  <si>
    <t>KrbilN013А</t>
  </si>
  <si>
    <t>40-летия Победы, 104А из города</t>
  </si>
  <si>
    <t>нет</t>
  </si>
  <si>
    <t>KrbilN005А1</t>
  </si>
  <si>
    <t>40-летия Победы, 35/3</t>
  </si>
  <si>
    <t>А1</t>
  </si>
  <si>
    <t>KrbilN006А2</t>
  </si>
  <si>
    <t>KrbilN001Б</t>
  </si>
  <si>
    <t>40-летия Победы, 54 в сторону Московской</t>
  </si>
  <si>
    <t>KrbilN002Б</t>
  </si>
  <si>
    <t>40-летия победы, 8 в город</t>
  </si>
  <si>
    <t>KrbilN001А</t>
  </si>
  <si>
    <t>40-летия победы, 8 из города</t>
  </si>
  <si>
    <t>KrbilN009А1</t>
  </si>
  <si>
    <t>40-летия Победы, 43</t>
  </si>
  <si>
    <t>KrbilN009Б</t>
  </si>
  <si>
    <t>П005</t>
  </si>
  <si>
    <t>40-летия Победы, 33/13 ост.Институт Культуры направление от Московская к Российская</t>
  </si>
  <si>
    <t>26 500</t>
  </si>
  <si>
    <t>П006</t>
  </si>
  <si>
    <t>40-летия Победы, 33/13 ост.Институт Культуры направление от Российская к Московская</t>
  </si>
  <si>
    <t>25 000</t>
  </si>
  <si>
    <t>KrbilN005А0</t>
  </si>
  <si>
    <t>40-летия Победы, напротив № 118А в город</t>
  </si>
  <si>
    <t>П007</t>
  </si>
  <si>
    <t>40-летия Победы, напротив №140 перед кольцом направление от Московская к Российская</t>
  </si>
  <si>
    <t>П008</t>
  </si>
  <si>
    <t>40-летия Победы, напротив №140 после кольца направление от Российская к Московская</t>
  </si>
  <si>
    <t>KrbilN007А</t>
  </si>
  <si>
    <t>40-летия Победы, рядом с № 35/3  в город</t>
  </si>
  <si>
    <t>KrbilN008А</t>
  </si>
  <si>
    <t>40-летия Победы, №  35/3 в город</t>
  </si>
  <si>
    <t>KrbilN013А3</t>
  </si>
  <si>
    <t>40-летия Победы, № 160 - Восточно-Кругликовская из города</t>
  </si>
  <si>
    <t>art_654</t>
  </si>
  <si>
    <t>40-летия Победы, № 48 (в город)</t>
  </si>
  <si>
    <t>KrbilN009А</t>
  </si>
  <si>
    <t>40-летия Победы, № 48 из города</t>
  </si>
  <si>
    <t>KrbilN003Б</t>
  </si>
  <si>
    <t>40-летия Победы рядом с № 12 в город</t>
  </si>
  <si>
    <t>KrbilN013А1</t>
  </si>
  <si>
    <t>70-летия Октября , (напротив дома №30, корпус 4)</t>
  </si>
  <si>
    <t>art_511</t>
  </si>
  <si>
    <t>70-летия Октября,  № 20/1 (из города)</t>
  </si>
  <si>
    <t>art_617</t>
  </si>
  <si>
    <t>70-летия Октября, № 15 (из города)</t>
  </si>
  <si>
    <t>34 500</t>
  </si>
  <si>
    <t>KrbilN013А0</t>
  </si>
  <si>
    <t>70-летия Октября, № 15 А в город</t>
  </si>
  <si>
    <t>art_041</t>
  </si>
  <si>
    <t>70-летия Октября - проспект Чекистов (из города)</t>
  </si>
  <si>
    <t>31 500</t>
  </si>
  <si>
    <t>pa_345b</t>
  </si>
  <si>
    <t>70-летия Октября № 14/1</t>
  </si>
  <si>
    <t>https://ra-matina.ru/?vendor_code=pa_345b</t>
  </si>
  <si>
    <t>35 000</t>
  </si>
  <si>
    <t>pa_345</t>
  </si>
  <si>
    <t>https://ra-matina.ru/?vendor_code=pa_345</t>
  </si>
  <si>
    <t>KrbilN014А1</t>
  </si>
  <si>
    <t>Бабушкина, Каляева (призматрон)</t>
  </si>
  <si>
    <t>pa_339</t>
  </si>
  <si>
    <t>Бабушкина, 72 - Герцена (из города)</t>
  </si>
  <si>
    <t>36 700</t>
  </si>
  <si>
    <t>pa_442</t>
  </si>
  <si>
    <t>Бабушкина 110</t>
  </si>
  <si>
    <t>https://ra-matina.ru/?vendor_code=pa_442</t>
  </si>
  <si>
    <t>KrbilN014А</t>
  </si>
  <si>
    <t>Благоева, 18 (в город)</t>
  </si>
  <si>
    <t>KrbilN014А0</t>
  </si>
  <si>
    <t>Благоева, 4 (в город)</t>
  </si>
  <si>
    <t>К_013A1</t>
  </si>
  <si>
    <t>Бородинская, 156</t>
  </si>
  <si>
    <t>33 000</t>
  </si>
  <si>
    <t>К_013B</t>
  </si>
  <si>
    <t>KrbilN016А</t>
  </si>
  <si>
    <t>Бородинская, 160 (АЗС "РОСНЕФТЬ") из города</t>
  </si>
  <si>
    <t>KrbilN018Б1</t>
  </si>
  <si>
    <t>Бородинская, 160 (АЗС "РОСНЕФТЬ") в город</t>
  </si>
  <si>
    <t>KrbilN015А</t>
  </si>
  <si>
    <t>Бородинская, 125 в город</t>
  </si>
  <si>
    <t>47 800</t>
  </si>
  <si>
    <t>KRD128B1GGBB</t>
  </si>
  <si>
    <t>Волжская, 72</t>
  </si>
  <si>
    <t>38 800</t>
  </si>
  <si>
    <t>KRD194B3GGBB</t>
  </si>
  <si>
    <t>Восточно-Кругликовская (рядом с 64/2)</t>
  </si>
  <si>
    <t>42 900</t>
  </si>
  <si>
    <t>KRDVSTK072</t>
  </si>
  <si>
    <t>Восточно-Кругликовская, 24</t>
  </si>
  <si>
    <t>https://ra-matina.ru/?vendor_code=KRDVSTK072</t>
  </si>
  <si>
    <t>П001</t>
  </si>
  <si>
    <t>Восточно-Кругликовская напротив 47/2 направление от стадиона ФК Краснодар к Черкасская</t>
  </si>
  <si>
    <t>П002</t>
  </si>
  <si>
    <t>Восточно-Кругликовская напротив 47/2 направление от Черкасская к стадиону ФК Краснодар</t>
  </si>
  <si>
    <t>26 000</t>
  </si>
  <si>
    <t>KrbilN021Б0</t>
  </si>
  <si>
    <t>Восточно-Кругликовская, 278 (направление к 40-летия Победы)</t>
  </si>
  <si>
    <t>К014</t>
  </si>
  <si>
    <t>Восточно-Кругликовская/Черкасская рядом №70 к стадиону ФК «Краснодар»</t>
  </si>
  <si>
    <t>К013</t>
  </si>
  <si>
    <t>Восточно-Кругликовская/Черкасская рядом №70 к Черкасская</t>
  </si>
  <si>
    <t>art_509</t>
  </si>
  <si>
    <t>Гаражная, №140 (в город)</t>
  </si>
  <si>
    <t>35 200</t>
  </si>
  <si>
    <t>KrbilN022А0</t>
  </si>
  <si>
    <t>Гаражная, 132/1 - Дальняя в город</t>
  </si>
  <si>
    <t>П009</t>
  </si>
  <si>
    <t>Героев Разведчиков_Черкасская рядом №60 направление от 40-летия Победы к Черкасская</t>
  </si>
  <si>
    <t>П010</t>
  </si>
  <si>
    <t>Героев Разведчиков_Черкасская рядом №60 направление от Черкасская к 40-летия Победы</t>
  </si>
  <si>
    <t>KRD130A1GGBB</t>
  </si>
  <si>
    <t>Герцена, (напротив № 186)</t>
  </si>
  <si>
    <t>40 800</t>
  </si>
  <si>
    <t>KRD049A3GGBB</t>
  </si>
  <si>
    <t>Герцена, 186</t>
  </si>
  <si>
    <t>KrbilN022А</t>
  </si>
  <si>
    <t>Герцена-Атарбекова (в город)</t>
  </si>
  <si>
    <t>art_444</t>
  </si>
  <si>
    <t>37 300</t>
  </si>
  <si>
    <t>KrbilN022А1</t>
  </si>
  <si>
    <t>Дальняя, 25</t>
  </si>
  <si>
    <t>art_275</t>
  </si>
  <si>
    <t>Дзержинского-Кореновская</t>
  </si>
  <si>
    <t>https://ra-matina.ru/?vendor_code=art_275</t>
  </si>
  <si>
    <t>42 600</t>
  </si>
  <si>
    <t>KRD136A1GGBB</t>
  </si>
  <si>
    <t>Дзержинского, (напротив им. Соколова М.Е., 66/1)</t>
  </si>
  <si>
    <t>37 600</t>
  </si>
  <si>
    <t>KrbilN030А_1</t>
  </si>
  <si>
    <t>Дзержинского, 163 из города</t>
  </si>
  <si>
    <t>KrbilN030А1</t>
  </si>
  <si>
    <t>Дзержинского, 163 н-в из центра</t>
  </si>
  <si>
    <t>KrbilN031А1</t>
  </si>
  <si>
    <t>Дзержинского, 213 на р/п поз. 1 в центр</t>
  </si>
  <si>
    <t>KrbilN031А_1</t>
  </si>
  <si>
    <t>Дзержинского, 215 (на разделительной полосе)</t>
  </si>
  <si>
    <t>KRD138B1GGBB</t>
  </si>
  <si>
    <t xml:space="preserve">Дзержинского,/Пригородная </t>
  </si>
  <si>
    <t>35 700</t>
  </si>
  <si>
    <t>KRD137A1GGBB</t>
  </si>
  <si>
    <t xml:space="preserve">Дзержинского,/Яхонтова </t>
  </si>
  <si>
    <t>KrbilN026А2</t>
  </si>
  <si>
    <t>Дзержинского, Ивана Сусанина , 2</t>
  </si>
  <si>
    <t>KrbilN026А3</t>
  </si>
  <si>
    <t>Дзержинского, Ушакова , 3 А в город</t>
  </si>
  <si>
    <t>KrbilN030А</t>
  </si>
  <si>
    <t>Дзержинского, 159 - Сафонова (из города)</t>
  </si>
  <si>
    <t>UM_065</t>
  </si>
  <si>
    <t>Дзержинского, 98 (в город)</t>
  </si>
  <si>
    <t>KrbilN028А</t>
  </si>
  <si>
    <t>Дзержинского напротив, № 161 А из города</t>
  </si>
  <si>
    <t>KrbilN023А</t>
  </si>
  <si>
    <t>Дзержинского улица,/Величковская улица</t>
  </si>
  <si>
    <t>KrbilN026А1</t>
  </si>
  <si>
    <t>Дзержинского улица,/Сусанина улица/Нахимова улица из города</t>
  </si>
  <si>
    <t>KrbilN024А</t>
  </si>
  <si>
    <t>Дзержинского улица/поворот на улица Грибоедова</t>
  </si>
  <si>
    <t>KrbilN027А</t>
  </si>
  <si>
    <t>Дзержинского, № 135 А из города</t>
  </si>
  <si>
    <t>KrbilN026Б</t>
  </si>
  <si>
    <t>Дзержинского-Сафонова (из города)</t>
  </si>
  <si>
    <t>KrbilN031А2</t>
  </si>
  <si>
    <t>Дзержинского, 223 , (на разделительной полосе) позиция 2 в город</t>
  </si>
  <si>
    <t>KrbilN026А4</t>
  </si>
  <si>
    <t>Дзержинского, рядом с № 163 в город</t>
  </si>
  <si>
    <t>KrbilN025А3</t>
  </si>
  <si>
    <t>Дзержинского (между Гастелло-Талалихина) из города</t>
  </si>
  <si>
    <t>К009</t>
  </si>
  <si>
    <t>Дзержинского/Талалихина в МЦ «Красная Площадь»</t>
  </si>
  <si>
    <t>К010</t>
  </si>
  <si>
    <t>Дзержинского/Талалихина из МЦ «Красная Площадь» в центр</t>
  </si>
  <si>
    <t>pa_138</t>
  </si>
  <si>
    <t>Дзержинского рядом с № 165- Грибоедова</t>
  </si>
  <si>
    <t>https://ra-matina.ru/?vendor_code=pa_138</t>
  </si>
  <si>
    <t>KrbilN030А0</t>
  </si>
  <si>
    <t>Дзержинского (напротив № 209, на разделительной полосе)</t>
  </si>
  <si>
    <t>art_521</t>
  </si>
  <si>
    <t>Дзержинского (рядом с Соколова № 17) (в город)</t>
  </si>
  <si>
    <t>KrbilN030Б</t>
  </si>
  <si>
    <t>Дзержинского напротив № 161 Б в город</t>
  </si>
  <si>
    <t>К_009B</t>
  </si>
  <si>
    <t>Заводская, 40 в город</t>
  </si>
  <si>
    <t>30 000</t>
  </si>
  <si>
    <t>К_009А</t>
  </si>
  <si>
    <t>Заводская, 40 из города в ст. Оз молл</t>
  </si>
  <si>
    <t>К024</t>
  </si>
  <si>
    <t>Западный обход напротив №57к3  ЖК Самолет из ЖК Немецкая деревня в Ленту и к Красных Партизан</t>
  </si>
  <si>
    <t>К023</t>
  </si>
  <si>
    <t>Западный обход напротив №57к3 ЖК Самолет  из Ленты в ЖК Немецкая Деревня</t>
  </si>
  <si>
    <t>К021</t>
  </si>
  <si>
    <t>Западный обход ост. Немецкая деревня ст.А напротив Придорожная,15/1 из ЖК Немецкая Деревня в Ленту</t>
  </si>
  <si>
    <t>К022</t>
  </si>
  <si>
    <t>Западный обход ост. Немецкая деревня ст.Б напротив Придорожная,15/1 из Ленты в ЖК Немецкая Деревня</t>
  </si>
  <si>
    <t>П012</t>
  </si>
  <si>
    <t>Западный Обход рядом Придорожная,18_2, напротив ЖК Догма парк направление из ЖК Немецкая деревня в Ленту</t>
  </si>
  <si>
    <t>П011</t>
  </si>
  <si>
    <t>Западный Обход рядом Придорожная,18_2, напротив ЖК Догма парк направление из Ленты в ЖК Немецкая Деревня</t>
  </si>
  <si>
    <t>К028</t>
  </si>
  <si>
    <t>Западный обход рядом Придорожная,41 из ЖК Немецкая Деревня в Ленту</t>
  </si>
  <si>
    <t>К027</t>
  </si>
  <si>
    <t>Западный обход рядом Придорожная,41 из Ленты в ЖК Немецкая Деревня</t>
  </si>
  <si>
    <t>К019</t>
  </si>
  <si>
    <t>Западный обход рядом №63 ст.А ост ССК Сокол из ЖК Немецкая деревня к Красных Партизан</t>
  </si>
  <si>
    <t>К020</t>
  </si>
  <si>
    <t>Западный обход рядом №63 ст.Б ост ССК Сокол от Красных Партизан в ЖК Немецкая деревня и МЦ Красная Площадь</t>
  </si>
  <si>
    <t>К032</t>
  </si>
  <si>
    <t>Западный обход_Крылатская из ЖК Немецкая деревня к Красных Партизан</t>
  </si>
  <si>
    <t>К031</t>
  </si>
  <si>
    <t>Западный обход_Крылатская от Красных Партизан в ЖК Немецкая деревня</t>
  </si>
  <si>
    <t>KRD012B1OGBB</t>
  </si>
  <si>
    <t>Захарова, (разворотное кольцо трамвая)</t>
  </si>
  <si>
    <t>KRD012A1OGBB</t>
  </si>
  <si>
    <t>KrbilN031А3</t>
  </si>
  <si>
    <t>KrbilN031А</t>
  </si>
  <si>
    <t>Захарова, 21 А из города</t>
  </si>
  <si>
    <t>KrbilN031А0</t>
  </si>
  <si>
    <t>Захарова, 1(Ябл.мост)</t>
  </si>
  <si>
    <t>KrbilN031Б</t>
  </si>
  <si>
    <t>К_015A</t>
  </si>
  <si>
    <t>Индустриальная, 20-Нефтезаводская  в город</t>
  </si>
  <si>
    <t>К_015B</t>
  </si>
  <si>
    <t>Индустриальная, 20-Нефтезаводская из города</t>
  </si>
  <si>
    <t>23 000</t>
  </si>
  <si>
    <t>KrbilN032А3</t>
  </si>
  <si>
    <t>Ипподромная № 49</t>
  </si>
  <si>
    <t>art_001</t>
  </si>
  <si>
    <t>Ипподромная № 49 - Спортивная (в город)</t>
  </si>
  <si>
    <t>37 700</t>
  </si>
  <si>
    <t>art_698</t>
  </si>
  <si>
    <t>Калинина № 23</t>
  </si>
  <si>
    <t>https://ra-matina.ru/?vendor_code=art_698</t>
  </si>
  <si>
    <t>KRD145B1GGBB</t>
  </si>
  <si>
    <t>Калинина, 136</t>
  </si>
  <si>
    <t>38 400</t>
  </si>
  <si>
    <t>KrbilN032А0</t>
  </si>
  <si>
    <t>Калинина, 365_Тургенева в город</t>
  </si>
  <si>
    <t>art_004</t>
  </si>
  <si>
    <t>Калинина № 168 (из города)</t>
  </si>
  <si>
    <t>KrbilN032А</t>
  </si>
  <si>
    <t>Калинина №229  (рядом с Тургенева) А из города</t>
  </si>
  <si>
    <t>pa_277</t>
  </si>
  <si>
    <t>Каляева, 2 (в город)</t>
  </si>
  <si>
    <t>32 000</t>
  </si>
  <si>
    <t>art_634</t>
  </si>
  <si>
    <t>Кожевенная № 83</t>
  </si>
  <si>
    <t>https://ra-matina.ru/?vendor_code=art_634</t>
  </si>
  <si>
    <t>41 200</t>
  </si>
  <si>
    <t>П014</t>
  </si>
  <si>
    <t>Кожевенная рядом 137 напротив кЕкатерининская направление из ЮМР к Тургеневскому мосту</t>
  </si>
  <si>
    <t>24 000</t>
  </si>
  <si>
    <t>П013</t>
  </si>
  <si>
    <t>Кожевенная рядом 137 напротив кЕкатерининская направление от Тургеневского моста в ЮМР</t>
  </si>
  <si>
    <t>К007</t>
  </si>
  <si>
    <t>Кореновская напротив №26 из МЦ «Красная Площадь к Народная</t>
  </si>
  <si>
    <t>К008</t>
  </si>
  <si>
    <t>Кореновская напротив №26 от Народная в МЦ «Красная Площадь»</t>
  </si>
  <si>
    <t>KrbilN036А2</t>
  </si>
  <si>
    <t>Красная 162_Северная, 287 (параллельный)</t>
  </si>
  <si>
    <t>KrbilN036А3</t>
  </si>
  <si>
    <t>Красная-Дзержинского, 3 в город</t>
  </si>
  <si>
    <t>KrbilN033А1</t>
  </si>
  <si>
    <t>Красных Партизан - Толбухина в город</t>
  </si>
  <si>
    <t>KRD195B2GGBB</t>
  </si>
  <si>
    <t>Красных Партизан (рядом с № 65/1)</t>
  </si>
  <si>
    <t>Б2</t>
  </si>
  <si>
    <t>К004</t>
  </si>
  <si>
    <t>Красных Партизан напротив  №1/3к.7, ост. ЖК «Светлоград» из центра в «Ленту»</t>
  </si>
  <si>
    <t>К003</t>
  </si>
  <si>
    <t>Красных Партизан напротив №1/3к.7, ост. ЖК «Светлоград» в центр из «Ленты»</t>
  </si>
  <si>
    <t>К006</t>
  </si>
  <si>
    <t>Красных Партизан напротив №4А, АЗС «Татнефть» в центр из «Ленты»</t>
  </si>
  <si>
    <t>К005</t>
  </si>
  <si>
    <t>Красных Партизан напротив №4А, АЗС «Татнефть» из центра в Ленту</t>
  </si>
  <si>
    <t>П016</t>
  </si>
  <si>
    <t>Красных Партизан рядом 4Б направление из центра к Западный Обход</t>
  </si>
  <si>
    <t>П015</t>
  </si>
  <si>
    <t>Красных Партизан рядом 4Б направление от Западный Обход в центр</t>
  </si>
  <si>
    <t>KrbilN037А</t>
  </si>
  <si>
    <t>Кубанская Набережная 3</t>
  </si>
  <si>
    <t>KrbilN038А</t>
  </si>
  <si>
    <t>KRD149A3GGBB</t>
  </si>
  <si>
    <t>Лизы Чайкиной , 26</t>
  </si>
  <si>
    <t>45 100</t>
  </si>
  <si>
    <t>К_014</t>
  </si>
  <si>
    <t>вблизи жилого дома по улице им. Мачуги В.Н., 82  в город</t>
  </si>
  <si>
    <t>К_014A</t>
  </si>
  <si>
    <t>вблизи жилого дома по улице им. Мачуги В.Н., 82  из города</t>
  </si>
  <si>
    <t>К_021</t>
  </si>
  <si>
    <t>вблизи жилого дома по улице им. Мачуги В.Н., 86</t>
  </si>
  <si>
    <t>К_021-1</t>
  </si>
  <si>
    <t>К_028A</t>
  </si>
  <si>
    <t>вблизи жилого дома по улице им. Мачуги В.Н., дом № 100</t>
  </si>
  <si>
    <t>К_028</t>
  </si>
  <si>
    <t>К_019</t>
  </si>
  <si>
    <t>вблизи нежилого здания по улице им. Мачуги В.Н., № 2,</t>
  </si>
  <si>
    <t>К_020-1</t>
  </si>
  <si>
    <t>вблизи торгового центра «Титан» по улице им. Мачуги В.Н., № 14, в город</t>
  </si>
  <si>
    <t>К_020</t>
  </si>
  <si>
    <t>вблизи торгового центра «Титан» по улице им. Мачуги В.Н., № 14, из города</t>
  </si>
  <si>
    <t>К_008A4</t>
  </si>
  <si>
    <t>Мачуги В.Н.улица Бородинская А въезд в город</t>
  </si>
  <si>
    <t>К_008A1</t>
  </si>
  <si>
    <t>Мачуги В.Н.улица Бородинская А выезд из города</t>
  </si>
  <si>
    <t>КД0141А</t>
  </si>
  <si>
    <t>Мачуги улица, д. 180 , в сторону улицы Бородинская из города</t>
  </si>
  <si>
    <t>um_306</t>
  </si>
  <si>
    <t>Мачуги, 170- Бородинская (в город)</t>
  </si>
  <si>
    <t>KRD151A1GGBB</t>
  </si>
  <si>
    <t>Минская ,/Урицкого ,  6 (позиция № 2)</t>
  </si>
  <si>
    <t>34 700</t>
  </si>
  <si>
    <t>KRD151B1GGBB</t>
  </si>
  <si>
    <t>KrbilN041А2</t>
  </si>
  <si>
    <t>Минская 66   (в город)</t>
  </si>
  <si>
    <t>KrbilN040Б</t>
  </si>
  <si>
    <t>Минская 66 (из города)</t>
  </si>
  <si>
    <t>KrbilN039А3</t>
  </si>
  <si>
    <t>Минская, 120_6 (направление к Кожевенная, Кубанская Набережная)</t>
  </si>
  <si>
    <t>К011</t>
  </si>
  <si>
    <t>Минская/Харьковская рядом №46 в центр и «Окей» из ЮМР</t>
  </si>
  <si>
    <t>К012</t>
  </si>
  <si>
    <t>Минская/Харьковская рядом №46 из центра в ЮМР</t>
  </si>
  <si>
    <t>KRD033A3OGBB</t>
  </si>
  <si>
    <t>Мопр , 55</t>
  </si>
  <si>
    <t>KRD033B2OGBB</t>
  </si>
  <si>
    <t>KrbilN042Б</t>
  </si>
  <si>
    <t>Мопр/ Дербентская</t>
  </si>
  <si>
    <t>KrbilN046А</t>
  </si>
  <si>
    <t>Новоросиийская 152   в город</t>
  </si>
  <si>
    <t>KRD154A1GGBB</t>
  </si>
  <si>
    <t>Новороссийская, (рядом с № 182)</t>
  </si>
  <si>
    <t>KrbilN048Б</t>
  </si>
  <si>
    <t>Новороссийская 100  в город</t>
  </si>
  <si>
    <t>KrbilN047А</t>
  </si>
  <si>
    <t>Новороссийская 100  из города</t>
  </si>
  <si>
    <t>49 000</t>
  </si>
  <si>
    <t>KrbilN048А</t>
  </si>
  <si>
    <t>Новороссийская 176</t>
  </si>
  <si>
    <t>74 640</t>
  </si>
  <si>
    <t>KrbilN0200</t>
  </si>
  <si>
    <t>Новороссийская, 200</t>
  </si>
  <si>
    <t>https://ra-matina.ru/?vendor_code=KrbilN0200</t>
  </si>
  <si>
    <t>KrbilN044А</t>
  </si>
  <si>
    <t>Новороссийская въезд на парковку Леруа 3-5</t>
  </si>
  <si>
    <t>art_200</t>
  </si>
  <si>
    <t>Новороссийская рядом с № 176/2 (мост) (в город)</t>
  </si>
  <si>
    <t>KrbilN043А</t>
  </si>
  <si>
    <t>Новороссийская-Безымянный светофор Леруа</t>
  </si>
  <si>
    <t>KrbilN045А</t>
  </si>
  <si>
    <t>Новороссийская-Л.Чайкиной</t>
  </si>
  <si>
    <t>К017</t>
  </si>
  <si>
    <t>Петра Метальникова напротив №7 гимназия «Лидер» к Московская</t>
  </si>
  <si>
    <t>К018</t>
  </si>
  <si>
    <t>Петра Метальникова напротив №7 гимназия «Лидер» к Российская</t>
  </si>
  <si>
    <t>art_694</t>
  </si>
  <si>
    <t>проспект Чекистов - Платановый Бульвар (из города)</t>
  </si>
  <si>
    <t>31 000</t>
  </si>
  <si>
    <t>pa_051</t>
  </si>
  <si>
    <t>проспект Чекистов,13 (в город)</t>
  </si>
  <si>
    <t>art_708</t>
  </si>
  <si>
    <t>проспект Чекистов, 16  (позиция 2) (из города)</t>
  </si>
  <si>
    <t>art_403</t>
  </si>
  <si>
    <t>проспект Чекистов, 16 (позиция 1) (из города)</t>
  </si>
  <si>
    <t>KrbilN049А</t>
  </si>
  <si>
    <t>проспект Чекистов, 16 (позиция 1) А в город</t>
  </si>
  <si>
    <t>KrbilN049А1</t>
  </si>
  <si>
    <t>проспект Чекистов, 16 (позиция 2) А в город</t>
  </si>
  <si>
    <t>art_405</t>
  </si>
  <si>
    <t>проспект Чекистов, 38 (позиция 2) (из города)</t>
  </si>
  <si>
    <t>KrbilN050А</t>
  </si>
  <si>
    <t>проспект Чекистов, 28 (в город)</t>
  </si>
  <si>
    <t>KrbilN051А</t>
  </si>
  <si>
    <t>проспект Чекистов, 31 (из города)</t>
  </si>
  <si>
    <t>KrbilN052А</t>
  </si>
  <si>
    <t>проспект Чекистов, 38 (ТЦ  5 Звезд)</t>
  </si>
  <si>
    <t>KRD174A1GGBB</t>
  </si>
  <si>
    <t>проспект Чекистов, 4-8</t>
  </si>
  <si>
    <t>KrbilN050А0</t>
  </si>
  <si>
    <t>проспект Чекистов, 25-3 (из города)</t>
  </si>
  <si>
    <t>KRD044B1OGBB</t>
  </si>
  <si>
    <t>проспект Чекистов, 25/3</t>
  </si>
  <si>
    <t>KRD045A2OGBB</t>
  </si>
  <si>
    <t>проспект Чекистов, 44</t>
  </si>
  <si>
    <t>KRD178B1GGAB</t>
  </si>
  <si>
    <t>проспект Чекистов, 46</t>
  </si>
  <si>
    <t>https://ra-matina.ru/?vendor_code=KRD178B1GGAB</t>
  </si>
  <si>
    <t>A</t>
  </si>
  <si>
    <t>69 840</t>
  </si>
  <si>
    <t>KRD178B1GGBB</t>
  </si>
  <si>
    <t>63 360</t>
  </si>
  <si>
    <t>art_714</t>
  </si>
  <si>
    <t>проспект Чекистов проспект 24 позиция 2 (из города)</t>
  </si>
  <si>
    <t>art_714_a</t>
  </si>
  <si>
    <t>проспект Чекистов, 24 (позиция 3)</t>
  </si>
  <si>
    <t>https://ra-matina.ru/?vendor_code=art_714_a</t>
  </si>
  <si>
    <t>UM_074</t>
  </si>
  <si>
    <t>проспект Чекистов, 24 позиция 2 (из города)</t>
  </si>
  <si>
    <t>KDR_PR_ART233</t>
  </si>
  <si>
    <t>Рашпилевская, 180 - Морская (мех рука)</t>
  </si>
  <si>
    <t>https://ra-matina.ru/?vendor_code=KDR_PR_ART233</t>
  </si>
  <si>
    <t>KRD060A3GGBB</t>
  </si>
  <si>
    <t xml:space="preserve">Рашпилевская , 142/Красных Партизан </t>
  </si>
  <si>
    <t>KRD056A2GGBB</t>
  </si>
  <si>
    <t xml:space="preserve">Рашпилевская ,/Гаврилова </t>
  </si>
  <si>
    <t>KRD056B2GGBB</t>
  </si>
  <si>
    <t>UM_255</t>
  </si>
  <si>
    <t>Рашпилевская (рядом с № 197) (в город)</t>
  </si>
  <si>
    <t>38 000</t>
  </si>
  <si>
    <t>UM_083</t>
  </si>
  <si>
    <t>Рашпилевская (рядом с № 319)-Дальняя (из города)</t>
  </si>
  <si>
    <t>KrbilN052Б1</t>
  </si>
  <si>
    <t>Рашпилевская улица Офицерская улица В ГОРОД</t>
  </si>
  <si>
    <t>KrbilN052А1_1</t>
  </si>
  <si>
    <t>Рашпилевская улица Офицерская улица ИЗ ГОРОДА</t>
  </si>
  <si>
    <t>KrbilN052А_1</t>
  </si>
  <si>
    <t>Рашпилевская улица,  Бабушкина улица</t>
  </si>
  <si>
    <t>KrbilN052А0</t>
  </si>
  <si>
    <t>Рашпилевская улица/Дальняя улица</t>
  </si>
  <si>
    <t>art_638</t>
  </si>
  <si>
    <t>Рашпилевская № 331 (из города)</t>
  </si>
  <si>
    <t>KrbilN052Б</t>
  </si>
  <si>
    <t>Рашпилевская_Северная, 279_Б (центр)</t>
  </si>
  <si>
    <t>KrbilN052А1</t>
  </si>
  <si>
    <t>Рашпилевская, 180 - Морская  из города</t>
  </si>
  <si>
    <t>pa_354</t>
  </si>
  <si>
    <t>Российская (напротив № 40) (в город)</t>
  </si>
  <si>
    <t>KrbilN056А0</t>
  </si>
  <si>
    <t>Российская 247 в город</t>
  </si>
  <si>
    <t>KrbilN057Б</t>
  </si>
  <si>
    <t>Российская 351 Б из города</t>
  </si>
  <si>
    <t>KrbilN053Б</t>
  </si>
  <si>
    <t>Российская 45  в город</t>
  </si>
  <si>
    <t>KrbilN054А</t>
  </si>
  <si>
    <t>Российская 45  из города</t>
  </si>
  <si>
    <t>pa_463</t>
  </si>
  <si>
    <t>Российская 72</t>
  </si>
  <si>
    <t>https://ra-matina.ru/?vendor_code=pa_463</t>
  </si>
  <si>
    <t>KrbilN057Б1</t>
  </si>
  <si>
    <t>Российская 474 Б из города</t>
  </si>
  <si>
    <t>pa_356</t>
  </si>
  <si>
    <t>Российская 594 (в город)</t>
  </si>
  <si>
    <t>KrbilN055А1</t>
  </si>
  <si>
    <t>Российская 74</t>
  </si>
  <si>
    <t>К002</t>
  </si>
  <si>
    <t>Российская напротив № 610/Ягодина из «Ленты»</t>
  </si>
  <si>
    <t>К033</t>
  </si>
  <si>
    <t>Российская напротив №596 «Магнит» в центр и «Лента»</t>
  </si>
  <si>
    <t>К034</t>
  </si>
  <si>
    <t>Российская напротив №596 «Магнит» из «Ленты»</t>
  </si>
  <si>
    <t>К001</t>
  </si>
  <si>
    <t>Российская напротив №610/Ягодина в центр и «Ленту»</t>
  </si>
  <si>
    <t>KrbilN055А0</t>
  </si>
  <si>
    <t>Российская ул, 84 в центр</t>
  </si>
  <si>
    <t>KrbilN055А3</t>
  </si>
  <si>
    <t>Российская ул, 84 из центра</t>
  </si>
  <si>
    <t>KrbilN056А1</t>
  </si>
  <si>
    <t>Российская № 344 А в город</t>
  </si>
  <si>
    <t>П019</t>
  </si>
  <si>
    <t>Ростовское шоссе рядом 36_1 направление из центра и Метро к Пригородная</t>
  </si>
  <si>
    <t>П020</t>
  </si>
  <si>
    <t>Ростовское шоссе рядом 36_1 направление от Пригородная в Метро и центр</t>
  </si>
  <si>
    <t>KrbilN059А</t>
  </si>
  <si>
    <t>Садовая 157 (Садовый мост)</t>
  </si>
  <si>
    <t>KrbilN060А</t>
  </si>
  <si>
    <t>Садовая 219 А в город</t>
  </si>
  <si>
    <t>KrbilN063А1</t>
  </si>
  <si>
    <t>Северная_Филатова 70 (в город)</t>
  </si>
  <si>
    <t>KrbilN063А1_1</t>
  </si>
  <si>
    <t>Северная-Ялтинская</t>
  </si>
  <si>
    <t>KrbilN063А0</t>
  </si>
  <si>
    <t>Северная, 241_Тургенева из города А</t>
  </si>
  <si>
    <t>П004</t>
  </si>
  <si>
    <t>Селезнева рядом 198 направление от Мачуги к Старокубанская</t>
  </si>
  <si>
    <t>П003</t>
  </si>
  <si>
    <t>Селезнева рядом 198 направление от Старокубанская к Мачуги</t>
  </si>
  <si>
    <t>К_033А</t>
  </si>
  <si>
    <t>вблизи троллейбусного депо № 2 по улице Селезнева</t>
  </si>
  <si>
    <t>К_033</t>
  </si>
  <si>
    <t>KrbilN064А</t>
  </si>
  <si>
    <t>Симферопольская - Просторная ( в город )</t>
  </si>
  <si>
    <t>UM_155</t>
  </si>
  <si>
    <t>Симферопольская - Уральская (из города)</t>
  </si>
  <si>
    <t>К030</t>
  </si>
  <si>
    <t>Симферопольская,50 ТЦ Вега пересеч. с Уральской от Новороссийской к Уральской</t>
  </si>
  <si>
    <t>К029</t>
  </si>
  <si>
    <t>Симферопольская,50 ТЦ Вега пересеч. с Уральской от Уральской к Новороссийской</t>
  </si>
  <si>
    <t>KrbilN065А</t>
  </si>
  <si>
    <t>Солнечная  рядом с № 12 А в город</t>
  </si>
  <si>
    <t>К_018A2</t>
  </si>
  <si>
    <t>вблизи жилого дома по Сормовская, 163 (в город)</t>
  </si>
  <si>
    <t>К_018A1</t>
  </si>
  <si>
    <t>вблизи жилого дома по Сормовская, 163 (из города)</t>
  </si>
  <si>
    <t>К_022А</t>
  </si>
  <si>
    <t>на пересечении улицы Сормовская им. Лизы Чайкиной</t>
  </si>
  <si>
    <t>К_022</t>
  </si>
  <si>
    <t>KrbilN068А</t>
  </si>
  <si>
    <t>Сормовская - Симферопольская в город</t>
  </si>
  <si>
    <t>KrbilN068Б</t>
  </si>
  <si>
    <t>KRD167B1GGBB</t>
  </si>
  <si>
    <t>Сормовская , (рядом с № 179/1, позиция 1)</t>
  </si>
  <si>
    <t>KRD167A3GGBB</t>
  </si>
  <si>
    <t>KRD164B1GGBB</t>
  </si>
  <si>
    <t>Сормовская , 3</t>
  </si>
  <si>
    <t>59 520</t>
  </si>
  <si>
    <t>KRD164A1GGBB</t>
  </si>
  <si>
    <t>KrbilN070А</t>
  </si>
  <si>
    <t>Сормовская , 5 (в город)</t>
  </si>
  <si>
    <t>KRD037A2OGBB</t>
  </si>
  <si>
    <t>Сормовская ,/Селезнева , 191 (позиция 2)</t>
  </si>
  <si>
    <t>KRD165B1GGBB</t>
  </si>
  <si>
    <t>Сормовская (напротив № 10/В)</t>
  </si>
  <si>
    <t>KrbilN072Б</t>
  </si>
  <si>
    <t>Сормовская (рядом с № 10) ст.Б</t>
  </si>
  <si>
    <t>KrbilN075А2</t>
  </si>
  <si>
    <t>Сормовская (рядом с № 179_1, позиция 1)</t>
  </si>
  <si>
    <t>KrbilN067А</t>
  </si>
  <si>
    <t>Сормовская 15-Онежская</t>
  </si>
  <si>
    <t>KrbilN069А</t>
  </si>
  <si>
    <t>Сормовская 2 (А из города)</t>
  </si>
  <si>
    <t>44 600</t>
  </si>
  <si>
    <t>KrbilN074А</t>
  </si>
  <si>
    <t>Сормовская 25 в город</t>
  </si>
  <si>
    <t>pa_403</t>
  </si>
  <si>
    <t>Сормовская 6</t>
  </si>
  <si>
    <t>UM_263</t>
  </si>
  <si>
    <t>Сормовская 62 (в город)</t>
  </si>
  <si>
    <t>art_677</t>
  </si>
  <si>
    <t>Сормовская рядом с № 3/3 (в город)</t>
  </si>
  <si>
    <t>KrbilN071А2</t>
  </si>
  <si>
    <t>Сормовская рядом с № 5_2 А  в город</t>
  </si>
  <si>
    <t>KrbilN077А</t>
  </si>
  <si>
    <t>Сормовская № 210 - 1 Мая</t>
  </si>
  <si>
    <t>KrbilN067А2</t>
  </si>
  <si>
    <t>Сормовская- Старокубанская</t>
  </si>
  <si>
    <t>pa_113</t>
  </si>
  <si>
    <t>Сормовская- Старокубанская (в город)</t>
  </si>
  <si>
    <t>KrbilN069А1</t>
  </si>
  <si>
    <t>Сормовская, 3  в город</t>
  </si>
  <si>
    <t>KrbilN072А3</t>
  </si>
  <si>
    <t>Сормовская,10 А из города</t>
  </si>
  <si>
    <t>pa_334</t>
  </si>
  <si>
    <t>Сормовская 179/1</t>
  </si>
  <si>
    <t>https://ra-matina.ru/?vendor_code=pa_334</t>
  </si>
  <si>
    <t>pa_039</t>
  </si>
  <si>
    <t>Сормовская (рядом с ул. Камвольной, 8)</t>
  </si>
  <si>
    <t>https://ra-matina.ru/?vendor_code=pa_039</t>
  </si>
  <si>
    <t>39 000</t>
  </si>
  <si>
    <t>UM_330</t>
  </si>
  <si>
    <t>Стасова 176 (Медиа Плаза) (в город)</t>
  </si>
  <si>
    <t>UM_331</t>
  </si>
  <si>
    <t>Стасова 176 (Медиа Плаза) (из города)</t>
  </si>
  <si>
    <t>36 000</t>
  </si>
  <si>
    <t>KrbilN076Б</t>
  </si>
  <si>
    <t>Стасова 180 (Медиа Плаза)  из города</t>
  </si>
  <si>
    <t>KrbilN076А</t>
  </si>
  <si>
    <t>Стасова 180 (Медиа Плаза) А в город</t>
  </si>
  <si>
    <t>К_037A1</t>
  </si>
  <si>
    <t>Суворова, 10</t>
  </si>
  <si>
    <t>К_026A1</t>
  </si>
  <si>
    <t>Трамвайная , 2 Сбербанк</t>
  </si>
  <si>
    <t>К_024A1</t>
  </si>
  <si>
    <t>Трамвайная 2 Парк Солнечный остров выезд из города</t>
  </si>
  <si>
    <t>К_035</t>
  </si>
  <si>
    <t>Трамвайная.2,  (Гостевой дом «Лилу» выезд из города)</t>
  </si>
  <si>
    <t>KrbilN078А</t>
  </si>
  <si>
    <t>Трудовой Славы - Автолюбителей в город</t>
  </si>
  <si>
    <t>KrbilN079Б</t>
  </si>
  <si>
    <t>Трудовой Славы - Автолюбителей из города</t>
  </si>
  <si>
    <t>KrbilN079А</t>
  </si>
  <si>
    <t>Трудовой Славы, 17  в город</t>
  </si>
  <si>
    <t>KrbilN087А3</t>
  </si>
  <si>
    <t>Тургенева - Атарбекова в город</t>
  </si>
  <si>
    <t>призма 4х8</t>
  </si>
  <si>
    <t>KrbilN083А2</t>
  </si>
  <si>
    <t>Тургенева - Яна Полуяна из города</t>
  </si>
  <si>
    <t>KrbilN086А_2</t>
  </si>
  <si>
    <t>Тургенева , 142 А1 в центр</t>
  </si>
  <si>
    <t>KrbilN086А_1</t>
  </si>
  <si>
    <t>Тургенева , 142 А1 из центра</t>
  </si>
  <si>
    <t>KrbilN090А2_1</t>
  </si>
  <si>
    <t>Тургенева , 148 р_п в центр</t>
  </si>
  <si>
    <t>KrbilN090А1</t>
  </si>
  <si>
    <t>Тургенева , 148 р_п из центра</t>
  </si>
  <si>
    <t>KrbilN090Б</t>
  </si>
  <si>
    <t>Тургенева (напротив 140-3, на разделительной полосе)</t>
  </si>
  <si>
    <t>pa_473</t>
  </si>
  <si>
    <t>Тургенева 138  (в город)</t>
  </si>
  <si>
    <t>38 500</t>
  </si>
  <si>
    <t>KrbilN084Б</t>
  </si>
  <si>
    <t>Тургенева 138  в город</t>
  </si>
  <si>
    <t>pa_447</t>
  </si>
  <si>
    <t>Тургенева 138 (из города)</t>
  </si>
  <si>
    <t>П024</t>
  </si>
  <si>
    <t>Тургенева 148 направление из МЦ Красная Площадь к Яна-Полуяна и Атарбекова</t>
  </si>
  <si>
    <t>27 000</t>
  </si>
  <si>
    <t>П023</t>
  </si>
  <si>
    <t>Тургенева 148 направление от Яна-Полуяна и Атарбекова в МЦ Красная Площадь</t>
  </si>
  <si>
    <t>KrbilN090А2</t>
  </si>
  <si>
    <t>Тургенева 152 из города</t>
  </si>
  <si>
    <t>KrbilN091А1</t>
  </si>
  <si>
    <t>Тургенева 164, разделительная полоса (в город)</t>
  </si>
  <si>
    <t>KRD051B1GGBB</t>
  </si>
  <si>
    <t xml:space="preserve">Тургенева им., (рядом с № 159)/Яна Полуяна </t>
  </si>
  <si>
    <t>KRD168A3GGBB</t>
  </si>
  <si>
    <t>Тургенева им., 138/5 (на разделительной полосе)</t>
  </si>
  <si>
    <t>KRD054A6GGBB</t>
  </si>
  <si>
    <t>Тургенева им., 148 (на разделительной полосе, позиция 2)</t>
  </si>
  <si>
    <t>А6</t>
  </si>
  <si>
    <t>KrbilN093А</t>
  </si>
  <si>
    <t>Тургенева улица, д.150/МФЦ Краснодара, разделительная полоса</t>
  </si>
  <si>
    <t>KrbilN091А</t>
  </si>
  <si>
    <t>Тургенева Я.Полуяна А к Северной</t>
  </si>
  <si>
    <t>KrbilN089А1</t>
  </si>
  <si>
    <t>Тургенева-Новаторов</t>
  </si>
  <si>
    <t>KrbilN082А</t>
  </si>
  <si>
    <t>Тургенева-Яна Полуяна  из города</t>
  </si>
  <si>
    <t>KrbilN086А1</t>
  </si>
  <si>
    <t>Тургенева, 142 в город</t>
  </si>
  <si>
    <t>KrbilN086А2</t>
  </si>
  <si>
    <t>KrbilN085А2</t>
  </si>
  <si>
    <t>Тургенева, 142 из города</t>
  </si>
  <si>
    <t>UM_033</t>
  </si>
  <si>
    <t>Тургенева рядом 181 (два самолета)</t>
  </si>
  <si>
    <t>https://ra-matina.ru/?vendor_code=UM_033</t>
  </si>
  <si>
    <t>KrbilN088А1</t>
  </si>
  <si>
    <t>Тургенева, 219</t>
  </si>
  <si>
    <t>KrbilN088А2</t>
  </si>
  <si>
    <t>KrbilN087А2</t>
  </si>
  <si>
    <t>Тургенева, напротив № 213, на разделительной полосе из города</t>
  </si>
  <si>
    <t>pa_088</t>
  </si>
  <si>
    <t>Тургенева,151 (в город)</t>
  </si>
  <si>
    <t>KrbilN094А3</t>
  </si>
  <si>
    <t>Тургенева,151 из города</t>
  </si>
  <si>
    <t>KrbilN092Б0</t>
  </si>
  <si>
    <t>Тургеневское шоссе 1км+350м, Въезд</t>
  </si>
  <si>
    <t>К_017</t>
  </si>
  <si>
    <t>вблизи  нежилого здания по улице Уральской № 87 в город</t>
  </si>
  <si>
    <t>К_017B</t>
  </si>
  <si>
    <t>вблизи  нежилого здания по улице Уральской № 87 из города</t>
  </si>
  <si>
    <t>KRD096A1GGBB</t>
  </si>
  <si>
    <t>Уральская , 196/2 (на разделительной полосе) (в город)</t>
  </si>
  <si>
    <t>KRD097A1GGBB</t>
  </si>
  <si>
    <t>Уральская , 210 (на разделительной полосе) (в город)</t>
  </si>
  <si>
    <t>KRD092A1GGBB</t>
  </si>
  <si>
    <t>Уральская , 212/11 (на разделительной полосе) (в город)</t>
  </si>
  <si>
    <t>KRD094A2GGBB</t>
  </si>
  <si>
    <t>Уральская , 216 (из города)</t>
  </si>
  <si>
    <t>KRD169A2GGBB</t>
  </si>
  <si>
    <t xml:space="preserve">Уральская , 80/Волжская </t>
  </si>
  <si>
    <t>KRD171A3GGBB</t>
  </si>
  <si>
    <t>Уральская ,/Симферопольская , 50/</t>
  </si>
  <si>
    <t>KrbilN105А</t>
  </si>
  <si>
    <t>Уральская (напротив № 129/3)</t>
  </si>
  <si>
    <t>KrbilN097А</t>
  </si>
  <si>
    <t>Уральская 110  (в город)</t>
  </si>
  <si>
    <t>KrbilN099А</t>
  </si>
  <si>
    <t>Уральская 120  (в город)</t>
  </si>
  <si>
    <t>КД0144А</t>
  </si>
  <si>
    <t>Уральская 136 в центр</t>
  </si>
  <si>
    <t>KrbilN095А1</t>
  </si>
  <si>
    <t>Уральская 34</t>
  </si>
  <si>
    <t>KrbilN101А3</t>
  </si>
  <si>
    <t>Уральская 79/1, фасад ТРК СБС Мегамолл</t>
  </si>
  <si>
    <t>призма 7х15</t>
  </si>
  <si>
    <t>UM_364</t>
  </si>
  <si>
    <t>Уральская 81-а (в город)</t>
  </si>
  <si>
    <t>KrbilN102Б</t>
  </si>
  <si>
    <t>Уральская 91 Б из города</t>
  </si>
  <si>
    <t>KrbilN095А0</t>
  </si>
  <si>
    <t>Уральская рядом с № 17 А из города</t>
  </si>
  <si>
    <t>art_206</t>
  </si>
  <si>
    <t>Уральская рядом с № 28 (призматрон) (из города)</t>
  </si>
  <si>
    <t>KrbilN095А3</t>
  </si>
  <si>
    <t>Уральская рядом с № 28 (призматрон) из города</t>
  </si>
  <si>
    <t>KrbilN106А3</t>
  </si>
  <si>
    <t>Уральская СБС(Ашан)</t>
  </si>
  <si>
    <t>призма 5х6</t>
  </si>
  <si>
    <t>KrbilN104А</t>
  </si>
  <si>
    <t>Уральская улица напротив д.111, АЗС= Роснефть=(из города)</t>
  </si>
  <si>
    <t>КД0034А1</t>
  </si>
  <si>
    <t>Уральская улица, д. 119, в центр</t>
  </si>
  <si>
    <t>art_005</t>
  </si>
  <si>
    <t>Уральская № 172 (из города)</t>
  </si>
  <si>
    <t>KrbilN105А1</t>
  </si>
  <si>
    <t>Уральская № 212_10 А в город</t>
  </si>
  <si>
    <t>KrbilN107А</t>
  </si>
  <si>
    <t>Уральская-Л.Чайкиной</t>
  </si>
  <si>
    <t>К025</t>
  </si>
  <si>
    <t>Уральская, 194_1 разделительная из Аэропорта в центр</t>
  </si>
  <si>
    <t>К026</t>
  </si>
  <si>
    <t>Уральская, 194_1 разделительная из центра в Аэропорт ст.Б</t>
  </si>
  <si>
    <t>KrbilN096А</t>
  </si>
  <si>
    <t>Уральская, 198_2 (на разделительной полосе)  в город</t>
  </si>
  <si>
    <t>KrbilN100Б</t>
  </si>
  <si>
    <t>Уральская,81б А из города</t>
  </si>
  <si>
    <t>К_030A</t>
  </si>
  <si>
    <t>вблизи жилого дома по улице им. Фадеева, № 281</t>
  </si>
  <si>
    <t>К_030</t>
  </si>
  <si>
    <t>К_031A</t>
  </si>
  <si>
    <t>вблизи жилого дома по улице им. Фадеева, № 324</t>
  </si>
  <si>
    <t>К_031B</t>
  </si>
  <si>
    <t>К_029A</t>
  </si>
  <si>
    <t>вблизи жилого дома по улице им. Фадеева, № 387</t>
  </si>
  <si>
    <t>К_029B</t>
  </si>
  <si>
    <t>KrbilN108А1</t>
  </si>
  <si>
    <t>Шоссе нефтяников, 37_к Лузана (в город)</t>
  </si>
  <si>
    <t>48 400</t>
  </si>
  <si>
    <t>art_635</t>
  </si>
  <si>
    <t>Яна Полуяна № 50 (из города)</t>
  </si>
  <si>
    <t>РАЗМЕЩЕНИЕ НАРУЖНОЙ РЕКЛАМЫ</t>
  </si>
  <si>
    <t>!!! КРАСНОДАР     КРАСНОДАРСКИЙ КРАЙ     ЮФО     РОССИЯ!!!</t>
  </si>
  <si>
    <t>АДРЕСНАЯ ПРОГРАММА (СКРОЛЛЕРЫ 2,7Х3,7) *СТАТУС СТОРОН УТОЧНЯЙТЕ У МЕНЕДЖЕРА</t>
  </si>
  <si>
    <t>Печать: статичные - 4000р., динамичные - 6500р.; монтаж - 4000р.</t>
  </si>
  <si>
    <t>UM_055</t>
  </si>
  <si>
    <t>2-я Линия (рядом с № 174) пересечение с Красных партизан (в город)</t>
  </si>
  <si>
    <t>скроллер динамич.</t>
  </si>
  <si>
    <t xml:space="preserve">28 000 </t>
  </si>
  <si>
    <t>KRD008B4GGSC</t>
  </si>
  <si>
    <t>Атарбекова ул.,/Совхозная ул</t>
  </si>
  <si>
    <t>Б4</t>
  </si>
  <si>
    <t>29 600</t>
  </si>
  <si>
    <t>art_642</t>
  </si>
  <si>
    <t>Атарбекова № 21 (в город)</t>
  </si>
  <si>
    <t>А5</t>
  </si>
  <si>
    <t>KrscroN002Б</t>
  </si>
  <si>
    <t>Атарбекова № 21 из города</t>
  </si>
  <si>
    <t>статич.скроллер</t>
  </si>
  <si>
    <t>KrscroN002А</t>
  </si>
  <si>
    <t>Атарбекова, 1 (Царское село)</t>
  </si>
  <si>
    <t>KrscroN001Б</t>
  </si>
  <si>
    <t>Атарбекова, 1_Герцена (в город)</t>
  </si>
  <si>
    <t>UM_025</t>
  </si>
  <si>
    <t>Аэродромная 9 - Рылеева (в город)</t>
  </si>
  <si>
    <t>Б5</t>
  </si>
  <si>
    <t>27 300</t>
  </si>
  <si>
    <t>UM_374</t>
  </si>
  <si>
    <t>Аэродромная напротив № 9 (поз.2)- Северная (в город)</t>
  </si>
  <si>
    <t>UM_023</t>
  </si>
  <si>
    <t>Аэродромная № 9 (поз.1) (в город)</t>
  </si>
  <si>
    <t>32 700</t>
  </si>
  <si>
    <t>art_090</t>
  </si>
  <si>
    <t>Аэродромная- Красных Партизан, 541 (в кольце) (из города)</t>
  </si>
  <si>
    <t>pa_413</t>
  </si>
  <si>
    <t>Бородинская,127/2 (из города)</t>
  </si>
  <si>
    <t>art_519</t>
  </si>
  <si>
    <t>Буденного №21 (рядом Тургенева) (в город)</t>
  </si>
  <si>
    <t>art_503</t>
  </si>
  <si>
    <t>Буденного- Тургенева  (в город)</t>
  </si>
  <si>
    <t>UM_077</t>
  </si>
  <si>
    <t>Буденного, 107 - Фрунзе (в город)</t>
  </si>
  <si>
    <t>KrscroN003А</t>
  </si>
  <si>
    <t>Вишняковой (Суворова) 51-1 А в город</t>
  </si>
  <si>
    <t>UM_125</t>
  </si>
  <si>
    <t>Вишняковой рядом с № 51 -1 (в город)</t>
  </si>
  <si>
    <t>UM_126</t>
  </si>
  <si>
    <t>Вишняковой рядом с № 51 -2 (в город)</t>
  </si>
  <si>
    <t>31 400</t>
  </si>
  <si>
    <t>art_623</t>
  </si>
  <si>
    <t>Восточно-Кругликовская № 13 (в город)</t>
  </si>
  <si>
    <t>art_438</t>
  </si>
  <si>
    <t>Гаврилова - Коммунаров (Автовокзал) (в город)</t>
  </si>
  <si>
    <t>art_439</t>
  </si>
  <si>
    <t>Гаврилова - Коммунаров (Автовокзал) (из города)</t>
  </si>
  <si>
    <t>KrscroN005А3</t>
  </si>
  <si>
    <t>Гаврилова - Коммунаров (Автовокзал) из города</t>
  </si>
  <si>
    <t>UM_045</t>
  </si>
  <si>
    <t>Гаврилова - Красная, 167 ( в город)</t>
  </si>
  <si>
    <t>UM_047</t>
  </si>
  <si>
    <t>Гаврилова 92 (в город)</t>
  </si>
  <si>
    <t>UM_046</t>
  </si>
  <si>
    <t>Гаврилова 93- Брянская (в город)</t>
  </si>
  <si>
    <t>art_045</t>
  </si>
  <si>
    <t>Гаврилова- Коммунаров (в город)</t>
  </si>
  <si>
    <t>art_046</t>
  </si>
  <si>
    <t>Гаврилова- Коммунаров (из города)</t>
  </si>
  <si>
    <t>26 800</t>
  </si>
  <si>
    <t>KrscroN004Б</t>
  </si>
  <si>
    <t>Гаврилова, 95 (в город)</t>
  </si>
  <si>
    <t>KRD034A2GGSC</t>
  </si>
  <si>
    <t>Герцена ул., 243/Красных Партизан ул., (рядом с № 24)</t>
  </si>
  <si>
    <t>KrscroN006А</t>
  </si>
  <si>
    <t>Дзержинского - Клубная А в город</t>
  </si>
  <si>
    <t>UM_110</t>
  </si>
  <si>
    <t>Дзержинского 26 - Клубная (в город)</t>
  </si>
  <si>
    <t>KrscroN008А</t>
  </si>
  <si>
    <t>Дзержинского 32  А в город</t>
  </si>
  <si>
    <t>UM_112</t>
  </si>
  <si>
    <t>Дзержинского 32 (в город)</t>
  </si>
  <si>
    <t>pa_035</t>
  </si>
  <si>
    <t>Дзержинского 6- Красная (в город)</t>
  </si>
  <si>
    <t>pa_062</t>
  </si>
  <si>
    <t>Дзержинского 8-Красная (в город)</t>
  </si>
  <si>
    <t>KrscroN009А</t>
  </si>
  <si>
    <t>Дзержинского 93 (в город)</t>
  </si>
  <si>
    <t>pa_028</t>
  </si>
  <si>
    <t>Дзержинского напротив № 99- Лузана (в город)</t>
  </si>
  <si>
    <t xml:space="preserve">30 000 </t>
  </si>
  <si>
    <t>pa_027</t>
  </si>
  <si>
    <t>pa_026</t>
  </si>
  <si>
    <t>Дзержинского рядом с № 11/3 (в город)</t>
  </si>
  <si>
    <t>UM_089</t>
  </si>
  <si>
    <t>Дзержинского рядом с № 30 (в город)</t>
  </si>
  <si>
    <t>KRD021B5GGSC</t>
  </si>
  <si>
    <t>Дзержинского ул., 137</t>
  </si>
  <si>
    <t>KRD022B1GGSC</t>
  </si>
  <si>
    <t>Дзержинского ул., 17</t>
  </si>
  <si>
    <t>KRD018A1GGSC</t>
  </si>
  <si>
    <t>Дзержинского ул.,/Лузана ул., (транспортная развязка)</t>
  </si>
  <si>
    <t>31 200</t>
  </si>
  <si>
    <t>KRD020B1GGSC</t>
  </si>
  <si>
    <t>Дзержинского ул.,/Стахановская ул., 2</t>
  </si>
  <si>
    <t>KrscroN007А</t>
  </si>
  <si>
    <t>Дзержинского № 29 А в город</t>
  </si>
  <si>
    <t>art_420</t>
  </si>
  <si>
    <t>Дзержинского № 7- Морская (в город)</t>
  </si>
  <si>
    <t>art_641</t>
  </si>
  <si>
    <t>Дзержинского № 95 (в город)</t>
  </si>
  <si>
    <t>34 000</t>
  </si>
  <si>
    <t>UM_131</t>
  </si>
  <si>
    <t>Дзержинского-Строителей  (в город)</t>
  </si>
  <si>
    <t>UM_082</t>
  </si>
  <si>
    <t>Захарова (Сити Центр) (из города)</t>
  </si>
  <si>
    <t>art_613</t>
  </si>
  <si>
    <t>Индустриальная 62 - Станкостроительная (из города)</t>
  </si>
  <si>
    <t>UM_122</t>
  </si>
  <si>
    <t>Индустриальная 80 (в город)</t>
  </si>
  <si>
    <t>KrscroN010А</t>
  </si>
  <si>
    <t>Индустриальная напротив № 84</t>
  </si>
  <si>
    <t>art_431</t>
  </si>
  <si>
    <t>Индустриальная № 82 (в город)</t>
  </si>
  <si>
    <t>KRD024B4GGSC</t>
  </si>
  <si>
    <t>Колхозная/40-летия Победы</t>
  </si>
  <si>
    <t>UM_280</t>
  </si>
  <si>
    <t>Колхозная, 63- 40 лет Победы (из города)</t>
  </si>
  <si>
    <t>art_008</t>
  </si>
  <si>
    <t>Коммунаров - им. Гаврилова П.М., 105 (в город)</t>
  </si>
  <si>
    <t>KrscroN011А</t>
  </si>
  <si>
    <t>Коммунаров - им. Гаврилова П.М., 105 из города</t>
  </si>
  <si>
    <t>UM_080</t>
  </si>
  <si>
    <t>Коммунаров (напротив № 274, позиция 2) (из города)</t>
  </si>
  <si>
    <t>33 700</t>
  </si>
  <si>
    <t>pa_064</t>
  </si>
  <si>
    <t>Коммунаров 272-Одесская (в город)</t>
  </si>
  <si>
    <t>art_653</t>
  </si>
  <si>
    <t>Коммунаров напротив № 274 (из города)</t>
  </si>
  <si>
    <t>art_650</t>
  </si>
  <si>
    <t>Коммунаров рядом с № 276 (в город)</t>
  </si>
  <si>
    <t>KRD025B4GGSC</t>
  </si>
  <si>
    <t>Коммунаров ул., 274</t>
  </si>
  <si>
    <t>KRD025A1GGSC</t>
  </si>
  <si>
    <t>KRD036A3GGSC</t>
  </si>
  <si>
    <t>Коммунаров ул.,/Офицерская ул.</t>
  </si>
  <si>
    <t>30 600</t>
  </si>
  <si>
    <t>pa_245</t>
  </si>
  <si>
    <t>Красина, 2- Кубанская набережная (в город)</t>
  </si>
  <si>
    <t>28 800</t>
  </si>
  <si>
    <t>pa_002</t>
  </si>
  <si>
    <t>Красина,4- Октябрьская (в город)</t>
  </si>
  <si>
    <t>32 500</t>
  </si>
  <si>
    <t>pa_094</t>
  </si>
  <si>
    <t>Красная -Шоссе Нефтяников,3 (Аврора) (в город)</t>
  </si>
  <si>
    <t>А4</t>
  </si>
  <si>
    <t>UM_144</t>
  </si>
  <si>
    <t>Красная 167/1 - Гаврилова (в город)</t>
  </si>
  <si>
    <t>art_669</t>
  </si>
  <si>
    <t>Красная рядом с № 167/1- Дзержинского (в город)</t>
  </si>
  <si>
    <t>art_515</t>
  </si>
  <si>
    <t>Красная №178 (ТК Центр города) (в город)</t>
  </si>
  <si>
    <t>KrscroN011А3</t>
  </si>
  <si>
    <t>Красная, 200 из города</t>
  </si>
  <si>
    <t>KrscroN011_1А3</t>
  </si>
  <si>
    <t>Красная, 206-Офицерская из города</t>
  </si>
  <si>
    <t>pa_202</t>
  </si>
  <si>
    <t>Красноармейская рядом с № 137-Северная (в город)</t>
  </si>
  <si>
    <t>art_658</t>
  </si>
  <si>
    <t>Красных Партизан  № 167- Сочинская (из города)</t>
  </si>
  <si>
    <t>KrscroN013А</t>
  </si>
  <si>
    <t>Красных Партизан  № 8- 2 линия А в город</t>
  </si>
  <si>
    <t>KrscroN012А1</t>
  </si>
  <si>
    <t>Красных Партизан  №3 линия А из города</t>
  </si>
  <si>
    <t>art_644</t>
  </si>
  <si>
    <t>Красных Партизан - Сочинская, 23 (из города)</t>
  </si>
  <si>
    <t>UM_207</t>
  </si>
  <si>
    <t>Красных партизан - ул. Каляева (в город)</t>
  </si>
  <si>
    <t>KrscroN017А</t>
  </si>
  <si>
    <t>Красных Партизан (рядом с № 238)</t>
  </si>
  <si>
    <t>да</t>
  </si>
  <si>
    <t>KrscroN018Б</t>
  </si>
  <si>
    <t>KrscroN012А</t>
  </si>
  <si>
    <t>Красных Партизан и Кропоткина ( в город)</t>
  </si>
  <si>
    <t>pa_219</t>
  </si>
  <si>
    <t>Красных Партизан напротив № 155 (из города)</t>
  </si>
  <si>
    <t>art_435</t>
  </si>
  <si>
    <t>Красных Партизан напротив № 157 (из города)</t>
  </si>
  <si>
    <t>KrscroN015Б</t>
  </si>
  <si>
    <t>Красных Партизан напротив № 157 Б из города</t>
  </si>
  <si>
    <t>KrscroN015А</t>
  </si>
  <si>
    <t>Красных Партизан напротив № 157 в город</t>
  </si>
  <si>
    <t>KrscroN016А</t>
  </si>
  <si>
    <t>Красных Партизан напротив № 163  А в город</t>
  </si>
  <si>
    <t>pa_193</t>
  </si>
  <si>
    <t>Красных Партизан рядом с № 145 (малыш) (в город)</t>
  </si>
  <si>
    <t>28 000</t>
  </si>
  <si>
    <t>pa_252</t>
  </si>
  <si>
    <t>Красных Партизан рядом с № 4/4, позиция 2 (в город)</t>
  </si>
  <si>
    <t>KrscroN014А</t>
  </si>
  <si>
    <t>Красных Партизан рядом с № 88 - Энгельса  в город</t>
  </si>
  <si>
    <t>pa_448</t>
  </si>
  <si>
    <t>Красных Партизан рядом с № 88 - Энгельса (из города)</t>
  </si>
  <si>
    <t>KRD029B1GGSC</t>
  </si>
  <si>
    <t>Красных Партизан ул., (рядом с № 178)</t>
  </si>
  <si>
    <t>KrscroN014_1А</t>
  </si>
  <si>
    <t>Красных Партизан ул., 111-3 поз. 1  из города</t>
  </si>
  <si>
    <t>KrscroN014_2А</t>
  </si>
  <si>
    <t>Красных Партизан ул., 111-3 поз. 2 из города</t>
  </si>
  <si>
    <t>KRD029A4GGSC</t>
  </si>
  <si>
    <t>Красных Партизан ул., 141</t>
  </si>
  <si>
    <t>28 200</t>
  </si>
  <si>
    <t>KRD031B1GGSC</t>
  </si>
  <si>
    <t>KRD031A3GGSC</t>
  </si>
  <si>
    <t>Красных Партизан ул., 171</t>
  </si>
  <si>
    <t>30 400</t>
  </si>
  <si>
    <t>KRD028B1GGSC</t>
  </si>
  <si>
    <t>KRD039B1GGSC</t>
  </si>
  <si>
    <t>Красных Партизан ул., 4/4</t>
  </si>
  <si>
    <t>art_233</t>
  </si>
  <si>
    <t>Красных Партизан № 236- Рашпилевская (в город)</t>
  </si>
  <si>
    <t>art_234</t>
  </si>
  <si>
    <t>Красных Партизан № 236- Рашпилевская (из города)</t>
  </si>
  <si>
    <t>KDR-PR-ART344</t>
  </si>
  <si>
    <t>Красных Партизан № 385- Кропоткина (в город)</t>
  </si>
  <si>
    <t>KrscroN014А0</t>
  </si>
  <si>
    <t>Красных Партизан, 145 (М-н МАЛЫШ) из города</t>
  </si>
  <si>
    <t>pa_142</t>
  </si>
  <si>
    <t>Красных Партизан, 145 (МНТК) (в город)</t>
  </si>
  <si>
    <t>pa_143</t>
  </si>
  <si>
    <t>Красных Партизан, 145 (МНТК) (из города)</t>
  </si>
  <si>
    <t>KrscroN014Б</t>
  </si>
  <si>
    <t>Красных Партизан, 145 (МНТК)Б из города</t>
  </si>
  <si>
    <t>UM_164</t>
  </si>
  <si>
    <t>Красных партизан, 4/4 - Толбухина (в город)</t>
  </si>
  <si>
    <t>pa_227</t>
  </si>
  <si>
    <t>Красных Партизан, 543- Аэродромная (из города)</t>
  </si>
  <si>
    <t>30 900</t>
  </si>
  <si>
    <t>UM_038</t>
  </si>
  <si>
    <t>Кубанская Набережная  (рядом с ул. им.Калинина, 350/10) (из города)</t>
  </si>
  <si>
    <t>art_230</t>
  </si>
  <si>
    <t>Кубанская Набережная  № 188 (из города)</t>
  </si>
  <si>
    <t>art_656</t>
  </si>
  <si>
    <t>Кубанская Набережная  № 52 (в город)</t>
  </si>
  <si>
    <t>art_283</t>
  </si>
  <si>
    <t>Кубанская Набережная - им. М.Горького (в город)</t>
  </si>
  <si>
    <t>art_284</t>
  </si>
  <si>
    <t>Кубанская Набережная - им. М.Горького (из города)</t>
  </si>
  <si>
    <t>30 200</t>
  </si>
  <si>
    <t>pa_059</t>
  </si>
  <si>
    <t>Кубанская Набережная 2- пр.им. Олега Кошевого, 165 (из города)</t>
  </si>
  <si>
    <t>UM_061</t>
  </si>
  <si>
    <t>Кубанская Набережная напротив 240 (в город)</t>
  </si>
  <si>
    <t>KrscroN019А</t>
  </si>
  <si>
    <t>Кубанская Набережная напротив 47 - 1 (из города)</t>
  </si>
  <si>
    <t>UM_060</t>
  </si>
  <si>
    <t>UM_042</t>
  </si>
  <si>
    <t>Кубанская Набережная напротив 47 - 2 (в город)</t>
  </si>
  <si>
    <t>UM_043</t>
  </si>
  <si>
    <t>Кубанская Набережная напротив 47 - 2 (из города)</t>
  </si>
  <si>
    <t>KrscroN019А3</t>
  </si>
  <si>
    <t>Кубанская Набережная напротив 47 - 3 в город</t>
  </si>
  <si>
    <t>UM_041</t>
  </si>
  <si>
    <t>Кубанская Набережная напротив 47 -3 (из города)</t>
  </si>
  <si>
    <t>KRD039A1GGSC</t>
  </si>
  <si>
    <t>Кубанская Набережная ул. (рядом с № 3)</t>
  </si>
  <si>
    <t>KRD038B4GGSC</t>
  </si>
  <si>
    <t>KRD045A4GGSC</t>
  </si>
  <si>
    <t>Кубанская Набережная ул., 2</t>
  </si>
  <si>
    <t>KRD046A5GGSC</t>
  </si>
  <si>
    <t>Кубанская Набережная ул., 47</t>
  </si>
  <si>
    <t>KRD043A4GGSC</t>
  </si>
  <si>
    <t>Кубанская Набережная ул., 47/1 (позиция № 1)</t>
  </si>
  <si>
    <t>KRD056B1GGSC</t>
  </si>
  <si>
    <t>Кубанская Набережная ул.,/Братьев Игнатовых ул., 10/1</t>
  </si>
  <si>
    <t>art_687</t>
  </si>
  <si>
    <t>Кубанская Набережная № 5- Пушкина (в город)</t>
  </si>
  <si>
    <t>art_686</t>
  </si>
  <si>
    <t>Кубанская Набережная № 5- Пушкина (из города)</t>
  </si>
  <si>
    <t>UM_037</t>
  </si>
  <si>
    <t>Кубанская Набережная- Калинина 350 (из города)</t>
  </si>
  <si>
    <t>KrscroN019А0</t>
  </si>
  <si>
    <t>Кубанская Набережная- Калинина 350 в город</t>
  </si>
  <si>
    <t>art_516</t>
  </si>
  <si>
    <t>Ленина - Гудимы (в город)</t>
  </si>
  <si>
    <t>UM_261</t>
  </si>
  <si>
    <t>Лузана пересечение  с ул.Дзержинского (из города)</t>
  </si>
  <si>
    <t>art_255</t>
  </si>
  <si>
    <t>Майкопская- Воронежская (в город)</t>
  </si>
  <si>
    <t>KrscroN019А_2</t>
  </si>
  <si>
    <t>Мачуги ,162 въезд в город, к Ул.Ставропольская</t>
  </si>
  <si>
    <t>art_683</t>
  </si>
  <si>
    <t>Мачуги (угол ул. Трамвайной) (в город)</t>
  </si>
  <si>
    <t>art_691</t>
  </si>
  <si>
    <t>Мачуги (угол ул. Трамвайной) (из города)</t>
  </si>
  <si>
    <t>art_682</t>
  </si>
  <si>
    <t>Мачуги 2/А (на разделительной полосе) (в город)</t>
  </si>
  <si>
    <t>38 300</t>
  </si>
  <si>
    <t>art_690</t>
  </si>
  <si>
    <t>Мачуги 2/А (на разделительной полосе) (из города)</t>
  </si>
  <si>
    <t>art_699</t>
  </si>
  <si>
    <t>Мачуги В.Н.  № 9, на разделительной полосе (в город)</t>
  </si>
  <si>
    <t>art_700</t>
  </si>
  <si>
    <t>Мачуги В.Н.  № 9, на разделительной полосе (из города)</t>
  </si>
  <si>
    <t>KRD054A1GGSC</t>
  </si>
  <si>
    <t>Мачуги В.Н. ул., 45</t>
  </si>
  <si>
    <t>KrscroN019_2А</t>
  </si>
  <si>
    <t>Мачуги ул, 9-1 в Аэропорт</t>
  </si>
  <si>
    <t>KrscroN019А_1</t>
  </si>
  <si>
    <t>Мачуги ул., 162  на выезд из города к ОзМолл</t>
  </si>
  <si>
    <t>KRD057B1GGSC</t>
  </si>
  <si>
    <t>Мачуги ул., 41</t>
  </si>
  <si>
    <t>KRD055A4GGSC</t>
  </si>
  <si>
    <t>Мачуги ул., 82</t>
  </si>
  <si>
    <t>KRD059A3GGSC</t>
  </si>
  <si>
    <t>Мачуги ул.,/Игнатова ул., 2/1 (позиция 1)</t>
  </si>
  <si>
    <t>pa_223</t>
  </si>
  <si>
    <t>Мачуги, 74-Игнатова (в город)</t>
  </si>
  <si>
    <t>KrscroN019_1А</t>
  </si>
  <si>
    <t>Мачуги, 9  в центр</t>
  </si>
  <si>
    <t>С04А1-5</t>
  </si>
  <si>
    <t>Мачуги, 9 (в ГМР)</t>
  </si>
  <si>
    <t>С04А5</t>
  </si>
  <si>
    <t>Мачуги, 9 (в центр)</t>
  </si>
  <si>
    <t>UM_169</t>
  </si>
  <si>
    <t>Мира (Привокзальная площадь) (в город)</t>
  </si>
  <si>
    <t>pa_183</t>
  </si>
  <si>
    <t>Московская-Солнечная (из города)</t>
  </si>
  <si>
    <t>KRD001A7GGSC</t>
  </si>
  <si>
    <t>Новороссийская ул.,/Вишняковой ул.</t>
  </si>
  <si>
    <t>art_514</t>
  </si>
  <si>
    <t>Переходная - Суворова, 80 (из города)</t>
  </si>
  <si>
    <t>KRD001A2GGSC</t>
  </si>
  <si>
    <t>Постовая ул., 69</t>
  </si>
  <si>
    <t>А7</t>
  </si>
  <si>
    <t>32 200</t>
  </si>
  <si>
    <t>KRD062B4GGSC</t>
  </si>
  <si>
    <t>art_651</t>
  </si>
  <si>
    <t>Рашпилевская - Головатого (в город)</t>
  </si>
  <si>
    <t>art_517</t>
  </si>
  <si>
    <t>UM_210</t>
  </si>
  <si>
    <t>Рашпилевская (напротив № 179) (в город)</t>
  </si>
  <si>
    <t>UM_053</t>
  </si>
  <si>
    <t>Рашпилевская (рядом с № 134) (в город)</t>
  </si>
  <si>
    <t>KRD062A1GGSC</t>
  </si>
  <si>
    <t>Рашпилевская ул., 128</t>
  </si>
  <si>
    <t>KRD063A5GGSC</t>
  </si>
  <si>
    <t>KrscroN020А</t>
  </si>
  <si>
    <t>Северная - Калининградская Б из города</t>
  </si>
  <si>
    <t>С03А5</t>
  </si>
  <si>
    <t>Северная (Выезд на мост с Тихорецкой)</t>
  </si>
  <si>
    <t>С03Б5</t>
  </si>
  <si>
    <t>15 000</t>
  </si>
  <si>
    <t>С02А5</t>
  </si>
  <si>
    <t>Северная (рядом с ул.им. Ломоносова, 40)</t>
  </si>
  <si>
    <t>С02Б5</t>
  </si>
  <si>
    <t>С01А5</t>
  </si>
  <si>
    <t>Северная (рядом с №441) (Корницкого)</t>
  </si>
  <si>
    <t>С01А1-5</t>
  </si>
  <si>
    <t>KrscroN024А</t>
  </si>
  <si>
    <t>Северная 19 - 1-я Линия(в город)</t>
  </si>
  <si>
    <t>UM_118</t>
  </si>
  <si>
    <t>Северная 249/1 - Б.Игнатовых (в город)</t>
  </si>
  <si>
    <t>UM_211</t>
  </si>
  <si>
    <t>Северная 288- Севастопольская (в город)</t>
  </si>
  <si>
    <t>UM_095</t>
  </si>
  <si>
    <t>Северная 331 - Леваневского (в город)</t>
  </si>
  <si>
    <t>art_668</t>
  </si>
  <si>
    <t>Северная напротив ул.им. Филатова, 31, на разделительной полосе (в город)</t>
  </si>
  <si>
    <t>KrscroN022_05А</t>
  </si>
  <si>
    <t>Северная напротив ул.им. Филатова, 31, на разделительной полосе в город</t>
  </si>
  <si>
    <t>KrscroN022_08А</t>
  </si>
  <si>
    <t>Северная рядом с ул.им. Филатова, 51 в город</t>
  </si>
  <si>
    <t>art_647</t>
  </si>
  <si>
    <t>Северная рядом с № 1 - 2-я Линия (в город)</t>
  </si>
  <si>
    <t>art_663</t>
  </si>
  <si>
    <t>Северная рядом с № 262 (в город)</t>
  </si>
  <si>
    <t>pa_174</t>
  </si>
  <si>
    <t>Северная рядом с № 302 - Калининградская (в город)</t>
  </si>
  <si>
    <t>pa_175</t>
  </si>
  <si>
    <t>Северная рядом с № 302-Калининградская (из города)</t>
  </si>
  <si>
    <t>KrscroN022_1А_1</t>
  </si>
  <si>
    <t>Северная ул., - Новороссийская 176-1 в центр</t>
  </si>
  <si>
    <t>KrscroN022_1Б_1</t>
  </si>
  <si>
    <t>Северная ул., - Новороссийская 176-1 из центра</t>
  </si>
  <si>
    <t>KRD064A1GGSC</t>
  </si>
  <si>
    <t>Северная ул., 2 (на разделительной полосе)</t>
  </si>
  <si>
    <t>KrscroN025А4</t>
  </si>
  <si>
    <t>Северная ул., 245</t>
  </si>
  <si>
    <t>KRD065B1GGSC</t>
  </si>
  <si>
    <t>KRD068B1GGSC</t>
  </si>
  <si>
    <t>Северная ул., 255 (позиция2)</t>
  </si>
  <si>
    <t>KrscroN026А1</t>
  </si>
  <si>
    <t>Северная ул., 269 (позиция 1)</t>
  </si>
  <si>
    <t>KRD069B3GGSC</t>
  </si>
  <si>
    <t>KrscroN027А</t>
  </si>
  <si>
    <t>Северная ул., 269 (позиция 2)</t>
  </si>
  <si>
    <t>KRD066A5GGSC</t>
  </si>
  <si>
    <t>KRD066B2GGSC</t>
  </si>
  <si>
    <t>Северная ул., 288</t>
  </si>
  <si>
    <t>KRD067A1GGSC</t>
  </si>
  <si>
    <t>KRD071B1GGSC</t>
  </si>
  <si>
    <t>Северная ул., 477</t>
  </si>
  <si>
    <t>KrscroN022_01Б</t>
  </si>
  <si>
    <t>Северная ул., 477 в город</t>
  </si>
  <si>
    <t>KrscroN022_01А_1</t>
  </si>
  <si>
    <t>Северная ул., 477 из города</t>
  </si>
  <si>
    <t>KrscroN022_03А</t>
  </si>
  <si>
    <t>Северная ул., 523 - Передовая в центр</t>
  </si>
  <si>
    <t>KrscroN022_03Б</t>
  </si>
  <si>
    <t>Северная ул., 523 - Передовая из центра</t>
  </si>
  <si>
    <t>KRD072B1GGSC</t>
  </si>
  <si>
    <t>Северная ул., 594</t>
  </si>
  <si>
    <t>KRD072A1GGSC</t>
  </si>
  <si>
    <t>KrscroN022_04Б</t>
  </si>
  <si>
    <t>Северная ул., 594 в город</t>
  </si>
  <si>
    <t>KrscroN022_04А</t>
  </si>
  <si>
    <t>Северная ул., 594 из города</t>
  </si>
  <si>
    <t>KRD073B1GGSC</t>
  </si>
  <si>
    <t>Северная ул.,/9-го Мая ул., 1</t>
  </si>
  <si>
    <t>KRD070A2GGSC</t>
  </si>
  <si>
    <t>Северная ул.,/Красная ул.</t>
  </si>
  <si>
    <t>KrscroN022_1Б1</t>
  </si>
  <si>
    <t>Северная ул.,9-го Мая ул., 1 в город</t>
  </si>
  <si>
    <t>KrscroN022_1А1</t>
  </si>
  <si>
    <t>Северная ул.,9-го Мая ул., 1 из города</t>
  </si>
  <si>
    <t>KrscroN022А1</t>
  </si>
  <si>
    <t>Северная ул.,Красная ул.</t>
  </si>
  <si>
    <t>KrscroN022_06А</t>
  </si>
  <si>
    <t>Северная ул.,Филатова ул., 6 в центр</t>
  </si>
  <si>
    <t>art_681</t>
  </si>
  <si>
    <t>Северная № 248 (рядом Тургенева) (из города)</t>
  </si>
  <si>
    <t>art_689</t>
  </si>
  <si>
    <t>Северная № 264 (рядом Б.Игнатовых) (из города)</t>
  </si>
  <si>
    <t>KrscroN022_02А</t>
  </si>
  <si>
    <t>Северная № 528- Ломоносова  из города</t>
  </si>
  <si>
    <t>art_706</t>
  </si>
  <si>
    <t>Северная № 528- Ломоносова (в город)</t>
  </si>
  <si>
    <t>KrscroN022_07А</t>
  </si>
  <si>
    <t>Северная_Филатова, 29 в город</t>
  </si>
  <si>
    <t>art_412</t>
  </si>
  <si>
    <t>Северная- им. Котовского (из города)</t>
  </si>
  <si>
    <t>KrscroN028А0</t>
  </si>
  <si>
    <t>Северная- Уральская  в город</t>
  </si>
  <si>
    <t>art_342</t>
  </si>
  <si>
    <t>Северная- Уральская (в город)</t>
  </si>
  <si>
    <t>art_343</t>
  </si>
  <si>
    <t>Северная- Уральская (из города)</t>
  </si>
  <si>
    <t>pa_108</t>
  </si>
  <si>
    <t>Северная- Ялтинская  (из города)</t>
  </si>
  <si>
    <t>KrscroN023А1</t>
  </si>
  <si>
    <t>Северная-Филатова (пер. Плановый) из города</t>
  </si>
  <si>
    <t>pa_422</t>
  </si>
  <si>
    <t>Северная, 237 (в город)</t>
  </si>
  <si>
    <t>pa_421</t>
  </si>
  <si>
    <t>Северная, 237 (из города)</t>
  </si>
  <si>
    <t>KrscroN028А</t>
  </si>
  <si>
    <t>Северная, 288 (в город)</t>
  </si>
  <si>
    <t>KrscroN021Б</t>
  </si>
  <si>
    <t>Северная, напротив ул.им. Васнецова, 46 в город</t>
  </si>
  <si>
    <t>KrscroN022_А1</t>
  </si>
  <si>
    <t>СевернаяКрасная, напротив ТРЦ Галерея</t>
  </si>
  <si>
    <t>KrscroN022_Б1</t>
  </si>
  <si>
    <t>UM_259</t>
  </si>
  <si>
    <t>Седина 193- Северная (в город)</t>
  </si>
  <si>
    <t>KrscroN029А</t>
  </si>
  <si>
    <t>Селезнева  _Васнецова из города</t>
  </si>
  <si>
    <t>KrscroN029Б</t>
  </si>
  <si>
    <t>KrscroN030А</t>
  </si>
  <si>
    <t>Селезнева  № 200/1 (на разделительной полосе)</t>
  </si>
  <si>
    <t>pa_388</t>
  </si>
  <si>
    <t>Селезнева 1 (из города)</t>
  </si>
  <si>
    <t>30 500</t>
  </si>
  <si>
    <t>UM_362</t>
  </si>
  <si>
    <t>Селезнева 248- Ставропольская (в город)</t>
  </si>
  <si>
    <t>KRD079B1GGSC</t>
  </si>
  <si>
    <t>Селезнева ул., 110</t>
  </si>
  <si>
    <t>KRD077B1GGSC</t>
  </si>
  <si>
    <t>Селезнева ул., 129</t>
  </si>
  <si>
    <t>KRD078B5GGSC</t>
  </si>
  <si>
    <t>Селезнева ул., 169</t>
  </si>
  <si>
    <t>KRD005B1GGSC</t>
  </si>
  <si>
    <t>Селезнева ул., 60</t>
  </si>
  <si>
    <t>KrscroN029_1А</t>
  </si>
  <si>
    <t>Селезнева ул., 72 х Ялтинская из города</t>
  </si>
  <si>
    <t>KrscroN029_1Б</t>
  </si>
  <si>
    <t>Селезнева ул., 72 х Ялтинская ул. в город</t>
  </si>
  <si>
    <t>pa_381</t>
  </si>
  <si>
    <t>Селезнева-Васнецова (в город)</t>
  </si>
  <si>
    <t>pa_382</t>
  </si>
  <si>
    <t>Селезнева-Васнецова (из города)</t>
  </si>
  <si>
    <t>pa_017</t>
  </si>
  <si>
    <t>Селезнева-Старокубанская (в город)</t>
  </si>
  <si>
    <t>pa_018</t>
  </si>
  <si>
    <t>Селезнева-Старокубанская (из города)</t>
  </si>
  <si>
    <t xml:space="preserve">А5 </t>
  </si>
  <si>
    <t>KrscroN029_02А</t>
  </si>
  <si>
    <t>Селезнева, 192 - Старокубанская  к ТРЦ Галактика</t>
  </si>
  <si>
    <t>KrscroN029_01А</t>
  </si>
  <si>
    <t>Селезнева, 192 - Старокубанская из центра</t>
  </si>
  <si>
    <t>pa_414</t>
  </si>
  <si>
    <t>Селезнева, 246 - Ставропольская (в город)</t>
  </si>
  <si>
    <t>pa_103</t>
  </si>
  <si>
    <t>Сормовская рядом с № 177 -Тюляева (в город)</t>
  </si>
  <si>
    <t>pa_104</t>
  </si>
  <si>
    <t>Сормовская рядом с № 177 -Тюляева (из города)</t>
  </si>
  <si>
    <t>KRD081A5GGSC</t>
  </si>
  <si>
    <t>Сормовская ул., 1/5</t>
  </si>
  <si>
    <t>pa_149</t>
  </si>
  <si>
    <t>Ставропольская 183 (в город)</t>
  </si>
  <si>
    <t>UM_199</t>
  </si>
  <si>
    <t>Ставропольская 4 (в город)</t>
  </si>
  <si>
    <t>art_662</t>
  </si>
  <si>
    <t>Ставропольская напротив № 98 (рядом ул. Вишняковой) (из города)</t>
  </si>
  <si>
    <t>KRD083A1GGSC</t>
  </si>
  <si>
    <t>Ставропольская ул., (рядом с № 56)</t>
  </si>
  <si>
    <t>KRD087A5GGSC</t>
  </si>
  <si>
    <t>Ставропольская ул., 137</t>
  </si>
  <si>
    <t>KRD088A4GGSC</t>
  </si>
  <si>
    <t>Ставропольская ул., 159/2</t>
  </si>
  <si>
    <t>KrscroN030_2А</t>
  </si>
  <si>
    <t>Ставропольская ул., 178 х Шевченко ул.</t>
  </si>
  <si>
    <t>KrscroN030_3А</t>
  </si>
  <si>
    <t>Ставропольская ул., 221-2</t>
  </si>
  <si>
    <t>KRD089A1GGSC</t>
  </si>
  <si>
    <t>Ставропольская ул., 223</t>
  </si>
  <si>
    <t>KRD085B1GGSC</t>
  </si>
  <si>
    <t>Ставропольская ул., 84</t>
  </si>
  <si>
    <t>KRD086A5GGSC</t>
  </si>
  <si>
    <t>Ставропольская ул., 89 (позиция 2)</t>
  </si>
  <si>
    <t>KRD082B1GGSC</t>
  </si>
  <si>
    <t>Ставропольская ул.,/Суворова ул., (позиция № 2)</t>
  </si>
  <si>
    <t>pa_211</t>
  </si>
  <si>
    <t>Ставропольская, 181 (в город)</t>
  </si>
  <si>
    <t>pa_150</t>
  </si>
  <si>
    <t>Ставропольская, 183 (из города)</t>
  </si>
  <si>
    <t>KrscroN030_1А</t>
  </si>
  <si>
    <t>Ставропольская,83-Шевченко</t>
  </si>
  <si>
    <t>KRD091A2GGSC</t>
  </si>
  <si>
    <t>Стасова ул.,/Селезнева ул.</t>
  </si>
  <si>
    <t>KRD092B1GGSC</t>
  </si>
  <si>
    <t>Суворова ул.,/Тракторный пер.</t>
  </si>
  <si>
    <t>KrscroN031_1А3</t>
  </si>
  <si>
    <t>Трамвайная ул. 5 в город</t>
  </si>
  <si>
    <t>KrscroN031А3</t>
  </si>
  <si>
    <t>Трамвайная № 2 (парк Солнечный о-в)  из города</t>
  </si>
  <si>
    <t>art_648</t>
  </si>
  <si>
    <t>Трамвайная № 2 (парк Солнечный о-в) (из города)</t>
  </si>
  <si>
    <t xml:space="preserve">pa_110 </t>
  </si>
  <si>
    <t>Трамвайная-Мачуги (в город)</t>
  </si>
  <si>
    <t>pa_110b</t>
  </si>
  <si>
    <t>Трамвайная-Мачуги (из города)</t>
  </si>
  <si>
    <t>KrscroN033А</t>
  </si>
  <si>
    <t>Тургенева 125- Фестивальная ( в город)</t>
  </si>
  <si>
    <t>KrscroN032Б</t>
  </si>
  <si>
    <t>Тургенева 17  (из города)</t>
  </si>
  <si>
    <t>KrscroN032А</t>
  </si>
  <si>
    <t>Тургенева 17 , позиция 2) А из города</t>
  </si>
  <si>
    <t>art_692</t>
  </si>
  <si>
    <t>Тургенева напротив № 10 (мост) (в город)</t>
  </si>
  <si>
    <t>art_667</t>
  </si>
  <si>
    <t>Тургенева рядом с № 1 (ТЦ "Карнавал") (из города)</t>
  </si>
  <si>
    <t>KRD098A1GGSC</t>
  </si>
  <si>
    <t>Тургенева ул. им. (рядом с № 129)</t>
  </si>
  <si>
    <t>KRD097A1GGSC</t>
  </si>
  <si>
    <t>Тургенева ул. им., 117</t>
  </si>
  <si>
    <t>KRD095B1GGSC</t>
  </si>
  <si>
    <t>Тургенева ул. им., 18</t>
  </si>
  <si>
    <t>KRD095A1GGSC</t>
  </si>
  <si>
    <t>art_236</t>
  </si>
  <si>
    <t>Тургенева № 114-Фестивальная (в город)</t>
  </si>
  <si>
    <t>KrscroN034А</t>
  </si>
  <si>
    <t>Тюляева  № 19_1,  на разделительной полосе  (в город)</t>
  </si>
  <si>
    <t>KrscroN035А1</t>
  </si>
  <si>
    <t>Тюляева  № 19_2,  на разделительной полосе(из города)</t>
  </si>
  <si>
    <t>UM_157</t>
  </si>
  <si>
    <t>Тюляева  № 19/2,  на разделительной полосе (в город)</t>
  </si>
  <si>
    <t>UM_158</t>
  </si>
  <si>
    <t>Тюляева  № 19/2,  на разделительной полосе (из города)</t>
  </si>
  <si>
    <t>KrscroN036А</t>
  </si>
  <si>
    <t>Тюляева - Сормовская  в город</t>
  </si>
  <si>
    <t>KRD102B1GGSC</t>
  </si>
  <si>
    <t>Тюляева ул. им., (рядом с № 21, позиция 1)</t>
  </si>
  <si>
    <t>KRD100B1GGSC</t>
  </si>
  <si>
    <t>Тюляева ул. им., 41/1</t>
  </si>
  <si>
    <t>pa_208</t>
  </si>
  <si>
    <t>Тюляева, 11- Сормовская (в город)</t>
  </si>
  <si>
    <t>pa_207</t>
  </si>
  <si>
    <t>Тюляева, 11- Сормовская (из города)</t>
  </si>
  <si>
    <t>pa_048</t>
  </si>
  <si>
    <t>Уральская напротив №59 (из города)</t>
  </si>
  <si>
    <t>KRD103B1GGSC</t>
  </si>
  <si>
    <t>Уральская ул., (рядом с № 120)</t>
  </si>
  <si>
    <t>26 900</t>
  </si>
  <si>
    <t>KRD103A5GGSC</t>
  </si>
  <si>
    <t>28 300</t>
  </si>
  <si>
    <t>art_432</t>
  </si>
  <si>
    <t>Уральская №98/2 (напротив СБС) (из города)</t>
  </si>
  <si>
    <t>art_081</t>
  </si>
  <si>
    <t>Фадеева - Аэропортовская (в город)</t>
  </si>
  <si>
    <t>pa_033</t>
  </si>
  <si>
    <t>Фадеева напротив №180 (в город)</t>
  </si>
  <si>
    <t>pa_034</t>
  </si>
  <si>
    <t>Фадеева напротив №180 (из города)</t>
  </si>
  <si>
    <t>KRD104A2GGSC</t>
  </si>
  <si>
    <t>Фадеева ул., 158</t>
  </si>
  <si>
    <t>KRD105B1GGSC</t>
  </si>
  <si>
    <t>Фадеева ул., 266</t>
  </si>
  <si>
    <t>KRD105A1GGSC</t>
  </si>
  <si>
    <t>KrscroN036_1Б</t>
  </si>
  <si>
    <t>Фадеева ул., 431 (АЗС) из центра</t>
  </si>
  <si>
    <t>KrscroN036_1А</t>
  </si>
  <si>
    <t>Фадеева ул., 431 (АЗС) к Мачуги в город</t>
  </si>
  <si>
    <t>KRD106A5GGSC</t>
  </si>
  <si>
    <t>Фрунзе ул.,/Калинина ул., 325</t>
  </si>
  <si>
    <t>KRD107A5GGSC</t>
  </si>
  <si>
    <t>Хакурате ул.,/Красная ул</t>
  </si>
  <si>
    <t>KRD108B1GGSC</t>
  </si>
  <si>
    <t>Шевченко ул. им., (рядом с № 150)</t>
  </si>
  <si>
    <t>KrscroN037А</t>
  </si>
  <si>
    <t>Шоссе Нефтяников 30 - Лузана</t>
  </si>
  <si>
    <t>UM_373</t>
  </si>
  <si>
    <t>Шоссе Нефтяников, 30 - Лузана (в город)</t>
  </si>
  <si>
    <t>KRD109B1GGSC</t>
  </si>
  <si>
    <t>Ялтинская ул., (напротив № 73)</t>
  </si>
  <si>
    <t>KrscroN038А</t>
  </si>
  <si>
    <t>Янковского- Промышленная А в город</t>
  </si>
  <si>
    <t>!!! КРАСНОДАР   КРАСНОДАРСКИЙ КРАЙ   ЮФО  РОССИЯ!!!</t>
  </si>
  <si>
    <t>АДРЕСНАЯ ПРОГРАММА (СУПЕРСАЙДЫ) *СТАТУС СТОРОН УТОЧНЯЙТЕ У МЕНЕДЖЕРА</t>
  </si>
  <si>
    <t>Печать: Статика - 23000р., Призма - 25000р.; Монтаж - 15000р.</t>
  </si>
  <si>
    <t>art_112</t>
  </si>
  <si>
    <t>40 Лет Победы-Российская</t>
  </si>
  <si>
    <t>https://ra-matina.ru/?vendor_code=art_112</t>
  </si>
  <si>
    <t>С</t>
  </si>
  <si>
    <t>статика 4х12</t>
  </si>
  <si>
    <t>166 000</t>
  </si>
  <si>
    <t>KrsupN001А</t>
  </si>
  <si>
    <t>Аэродромная_Кр.Партизан</t>
  </si>
  <si>
    <t>юнипол 5х12</t>
  </si>
  <si>
    <t>285 000</t>
  </si>
  <si>
    <t>art_59b</t>
  </si>
  <si>
    <t>Бородинская, 117</t>
  </si>
  <si>
    <t>https://ra-matina.ru/?vendor_code=art_59b</t>
  </si>
  <si>
    <t>статика 5х15</t>
  </si>
  <si>
    <t>195 000</t>
  </si>
  <si>
    <t>KrsupN001_1А</t>
  </si>
  <si>
    <t>Дзержинского, 163-Грибоедова, ст. А в город</t>
  </si>
  <si>
    <t>призма 5х15</t>
  </si>
  <si>
    <t>KrsupN001_1Б</t>
  </si>
  <si>
    <t>Дзержинского,163-Грибоедова_Б-из города</t>
  </si>
  <si>
    <t>art_111</t>
  </si>
  <si>
    <t>Дзержинского-Западный Объезд</t>
  </si>
  <si>
    <t>https://ra-matina.ru/?vendor_code=art_111</t>
  </si>
  <si>
    <t>призма 4х12</t>
  </si>
  <si>
    <t>143 000</t>
  </si>
  <si>
    <t>art_603</t>
  </si>
  <si>
    <t>Индустриальная -Захарова (кольцо)</t>
  </si>
  <si>
    <t>163 000</t>
  </si>
  <si>
    <t>art_604</t>
  </si>
  <si>
    <t>https://ra-matina.ru/?vendor_code=art_604</t>
  </si>
  <si>
    <t>158 000</t>
  </si>
  <si>
    <t>art_605</t>
  </si>
  <si>
    <t>KrsupN001А1</t>
  </si>
  <si>
    <t xml:space="preserve">Индустриальная-Захарова (ЯБЛОНОВСКИЙ МОСТ; выезд из города) </t>
  </si>
  <si>
    <t>KrsupN001B1</t>
  </si>
  <si>
    <t xml:space="preserve">Индустриальная-Захарова (ЯБЛОНОВСКИЙ МОСТ; в город) </t>
  </si>
  <si>
    <t>https://ra-matina.ru/?vendor_code=KrsupN001B1</t>
  </si>
  <si>
    <t>KrsupN001Б</t>
  </si>
  <si>
    <t>Мачуги, 107  (направление в Аэропорт)</t>
  </si>
  <si>
    <t>статика 6х15</t>
  </si>
  <si>
    <t>pa_297</t>
  </si>
  <si>
    <t>Северная - Ялтинская (из города)</t>
  </si>
  <si>
    <t xml:space="preserve">120 000 </t>
  </si>
  <si>
    <t>KrsupN003А1</t>
  </si>
  <si>
    <t>Северная- Филатова А в город</t>
  </si>
  <si>
    <t>KrsupN003_Б</t>
  </si>
  <si>
    <t>Северная- Филатова Б из города</t>
  </si>
  <si>
    <t>250 000</t>
  </si>
  <si>
    <t>KrsupN002Б2</t>
  </si>
  <si>
    <t>Северная-Новороссийская, 7</t>
  </si>
  <si>
    <t>KrsupN002Б1</t>
  </si>
  <si>
    <t>Северная-Щорса, 58 _Б - в город</t>
  </si>
  <si>
    <t>KrsupN002А</t>
  </si>
  <si>
    <t>Северная-Щорса,58_А-из города</t>
  </si>
  <si>
    <t>pa_161</t>
  </si>
  <si>
    <t>144 500</t>
  </si>
  <si>
    <t>pa_160</t>
  </si>
  <si>
    <t>148 500</t>
  </si>
  <si>
    <t>KrsupN003Б</t>
  </si>
  <si>
    <t>Северная, 493 Б из города</t>
  </si>
  <si>
    <t>KrsupN003А</t>
  </si>
  <si>
    <t>Северная, 513  в город</t>
  </si>
  <si>
    <t>KRSS300</t>
  </si>
  <si>
    <t>Северная, 592</t>
  </si>
  <si>
    <t>https://ra-matina.ru/?vendor_code=KRSS300</t>
  </si>
  <si>
    <t>246 600</t>
  </si>
  <si>
    <t>KrsupN004А</t>
  </si>
  <si>
    <t xml:space="preserve">Селезнева 42 сторона </t>
  </si>
  <si>
    <t>KrsupN005Б</t>
  </si>
  <si>
    <t>Krsuvlen001</t>
  </si>
  <si>
    <t>Суворова-Ленина</t>
  </si>
  <si>
    <t>https://ra-matina.ru/?vendor_code=Krsuvlen001</t>
  </si>
  <si>
    <t>A2</t>
  </si>
  <si>
    <t>KrsupN005_1А</t>
  </si>
  <si>
    <t>Тургенева_Калинина, 368 в город</t>
  </si>
  <si>
    <t>KrsupN005_1Б</t>
  </si>
  <si>
    <t>Тургенева_Калинина, 368 из города</t>
  </si>
  <si>
    <t>pa_195</t>
  </si>
  <si>
    <t>Тургенева-Калинина  (в город)</t>
  </si>
  <si>
    <t xml:space="preserve">139 000 </t>
  </si>
  <si>
    <t>pa_194</t>
  </si>
  <si>
    <t>Тургенева-Калинина (из города)</t>
  </si>
  <si>
    <t>art_611</t>
  </si>
  <si>
    <t>Уральская-Лизы Чайкиной (кольцо)</t>
  </si>
  <si>
    <t>https://ra-matina.ru/?vendor_code=art_611</t>
  </si>
  <si>
    <t>150 000</t>
  </si>
  <si>
    <t>art_612</t>
  </si>
  <si>
    <t>https://ra-matina.ru/?vendor_code=art_612</t>
  </si>
  <si>
    <t>pa_240</t>
  </si>
  <si>
    <t>Ялтинская-Новгородская (в город)</t>
  </si>
  <si>
    <t>pa_241</t>
  </si>
  <si>
    <t>Ялтинская-Новгородская (из города)</t>
  </si>
  <si>
    <t>№</t>
  </si>
  <si>
    <t>Адрес рекламного места</t>
  </si>
  <si>
    <t>Размер, кв.м.</t>
  </si>
  <si>
    <t>Рзрешение, pix.</t>
  </si>
  <si>
    <t>Время работы</t>
  </si>
  <si>
    <t>GRP (сутки)</t>
  </si>
  <si>
    <t>OTS (сутки)</t>
  </si>
  <si>
    <t>Хронометраж</t>
  </si>
  <si>
    <t>Кол-во выходов в месяц</t>
  </si>
  <si>
    <t>Стоимость в месяц (руб.)</t>
  </si>
  <si>
    <t>АДРЕСНАЯ ПРОГРАММА (Digital) *СТАТУС СТОРОН УТОЧНЯЙТЕ У МЕНЕДЖЕРА</t>
  </si>
  <si>
    <t xml:space="preserve">Производство ролика - от 3500р. </t>
  </si>
  <si>
    <t>ad_nab001</t>
  </si>
  <si>
    <t>Адыгейская набережная, 245</t>
  </si>
  <si>
    <t>https://ra-matina.ru/?vendor_code=ad_nab001</t>
  </si>
  <si>
    <t>3 х 6</t>
  </si>
  <si>
    <t>360 х 720</t>
  </si>
  <si>
    <t>с 06:00 до 23:00</t>
  </si>
  <si>
    <t>---</t>
  </si>
  <si>
    <t>Блок 1 мин</t>
  </si>
  <si>
    <t>Блок 2 мин</t>
  </si>
  <si>
    <t>Блок 4 мин</t>
  </si>
  <si>
    <t>5 сек</t>
  </si>
  <si>
    <t>10 сек</t>
  </si>
  <si>
    <t>KrbilN104А5</t>
  </si>
  <si>
    <t>Андреевская 4</t>
  </si>
  <si>
    <t>KrbilN104Б5</t>
  </si>
  <si>
    <t>Блок 3 мин</t>
  </si>
  <si>
    <t>bochkr001</t>
  </si>
  <si>
    <t>Бочарникова, 16, супермаркет Перекресток, торцевая стена</t>
  </si>
  <si>
    <t>https://ra-matina.ru/?vendor_code=bochkr001</t>
  </si>
  <si>
    <t>3,84 х 2,88</t>
  </si>
  <si>
    <t>с 07:00 до 23:00</t>
  </si>
  <si>
    <t>KrbilN105А5</t>
  </si>
  <si>
    <t>Восточно-Кругликовская, 18</t>
  </si>
  <si>
    <t>6 х 3</t>
  </si>
  <si>
    <t>KRD0004A41KLDH</t>
  </si>
  <si>
    <t>Восточно-Кругликовская ул. /40 лет Победы</t>
  </si>
  <si>
    <t>A41</t>
  </si>
  <si>
    <t>3x4</t>
  </si>
  <si>
    <t>dz_dj01</t>
  </si>
  <si>
    <t>Дзержинского/ Пригородная д. 203</t>
  </si>
  <si>
    <t>https://ra-matina.ru/?vendor_code=dz_dj01</t>
  </si>
  <si>
    <t>3x6</t>
  </si>
  <si>
    <t>360x720</t>
  </si>
  <si>
    <t>DSS-1А</t>
  </si>
  <si>
    <t>Ивана Шкабуры, з/у 12 - Западный обход (рядом с гипермаркетом "Лента", в направлении ул.Красных Партизан)</t>
  </si>
  <si>
    <t>12х5</t>
  </si>
  <si>
    <t>1152х480</t>
  </si>
  <si>
    <t>с 05:00 до 01:00</t>
  </si>
  <si>
    <t>Блок 5 мин</t>
  </si>
  <si>
    <t>Блок 1 мин (прайс)</t>
  </si>
  <si>
    <t>Блок 2 мин (прайс)</t>
  </si>
  <si>
    <t>Блок 5 мин (прайс)</t>
  </si>
  <si>
    <t>DSS-1Б</t>
  </si>
  <si>
    <t>Ивана Шкабуры, з/у 12 - Западный обход (рядом с гипермаркетом "Лента", в направлении к Немецкой деревне)</t>
  </si>
  <si>
    <t>15 сек</t>
  </si>
  <si>
    <t>kngkr001</t>
  </si>
  <si>
    <t>Конгрессная, 33 к1, в центр</t>
  </si>
  <si>
    <t>https://ra-matina.ru/?vendor_code=kngkr001</t>
  </si>
  <si>
    <t>3х6</t>
  </si>
  <si>
    <t xml:space="preserve">1152х576 </t>
  </si>
  <si>
    <t>с 7:00 до 23:00</t>
  </si>
  <si>
    <t>kngkr002</t>
  </si>
  <si>
    <t>https://ra-matina.ru/?vendor_code=kngkr002</t>
  </si>
  <si>
    <t>KrbilN034А5</t>
  </si>
  <si>
    <t>Красная (рядом с 192)</t>
  </si>
  <si>
    <t>KRkrsn154</t>
  </si>
  <si>
    <t>Красная, 154</t>
  </si>
  <si>
    <t>https://ra-matina.ru/?vendor_code=KRkrsn154</t>
  </si>
  <si>
    <t>8,32х5,12</t>
  </si>
  <si>
    <t>1080х640</t>
  </si>
  <si>
    <t>с 06:00 до 02:00</t>
  </si>
  <si>
    <t>KrbilN035А5</t>
  </si>
  <si>
    <t>Красная (рядом с 155)</t>
  </si>
  <si>
    <t>Блок 10 мин</t>
  </si>
  <si>
    <t>KRDDJ003</t>
  </si>
  <si>
    <t>Красная, 124</t>
  </si>
  <si>
    <t>А-С</t>
  </si>
  <si>
    <t>25*9</t>
  </si>
  <si>
    <t>с_00001</t>
  </si>
  <si>
    <t>Лизы Чайкиной,  4/3 (в сторону ул. Уральской , напротив МРЭО ГИБДД)</t>
  </si>
  <si>
    <t>A10</t>
  </si>
  <si>
    <t>с_00002</t>
  </si>
  <si>
    <t>Российская, 97</t>
  </si>
  <si>
    <t>5х15</t>
  </si>
  <si>
    <t>с 06:30 до 23:30</t>
  </si>
  <si>
    <t>с_00003</t>
  </si>
  <si>
    <t>KRD0002B23KLDQ</t>
  </si>
  <si>
    <t>Ростовское шоссе ул. /Зиповская ул.</t>
  </si>
  <si>
    <t>Б23</t>
  </si>
  <si>
    <t>KRDDJ002</t>
  </si>
  <si>
    <t>Ростовское шоссе, 34/18</t>
  </si>
  <si>
    <t>12x5</t>
  </si>
  <si>
    <t>720х288</t>
  </si>
  <si>
    <t>с 06:00 до 01:00</t>
  </si>
  <si>
    <t>DCB</t>
  </si>
  <si>
    <t>Северная 320/ул.Аэродромная (магазин "Кубаньинструмент")</t>
  </si>
  <si>
    <t>4х3,2</t>
  </si>
  <si>
    <t>720х576</t>
  </si>
  <si>
    <t>круглосуточно</t>
  </si>
  <si>
    <t>Блок 3 мин (прайс)</t>
  </si>
  <si>
    <t xml:space="preserve">5 сек </t>
  </si>
  <si>
    <t xml:space="preserve">10 сек </t>
  </si>
  <si>
    <t>DSS-3А</t>
  </si>
  <si>
    <t>Северная (Филатова, 55)</t>
  </si>
  <si>
    <t>c 06:30 до 23:30</t>
  </si>
  <si>
    <t>DSS-3А1</t>
  </si>
  <si>
    <t>DSS-3А2</t>
  </si>
  <si>
    <t>DSS-3А3</t>
  </si>
  <si>
    <t>DSS-3А4</t>
  </si>
  <si>
    <t>DSS-3А5</t>
  </si>
  <si>
    <t>DSS-3Б</t>
  </si>
  <si>
    <t>DSS-3Б1</t>
  </si>
  <si>
    <t>DSS-3Б2</t>
  </si>
  <si>
    <t>DSS-3Б3</t>
  </si>
  <si>
    <t>DSS-3Б4</t>
  </si>
  <si>
    <t>DSS-3Б5</t>
  </si>
  <si>
    <t>KrbilN061А5</t>
  </si>
  <si>
    <t>Северная-Аэродромная</t>
  </si>
  <si>
    <t>KrbilN062А5</t>
  </si>
  <si>
    <t>Северная ул. (рядом с ул.им. Бородина, 7)</t>
  </si>
  <si>
    <t>KRD0005A34KLDQ</t>
  </si>
  <si>
    <t>Северная ул. (между мостами)</t>
  </si>
  <si>
    <t>A34</t>
  </si>
  <si>
    <t>KRDDJ001</t>
  </si>
  <si>
    <t>Северная, 527</t>
  </si>
  <si>
    <t>KRDDJ004</t>
  </si>
  <si>
    <t>Северная, напротив 493</t>
  </si>
  <si>
    <t>15x5</t>
  </si>
  <si>
    <t>KRDDJ005</t>
  </si>
  <si>
    <t>DSS-5А</t>
  </si>
  <si>
    <t>Сормовская, 1</t>
  </si>
  <si>
    <t>6 х 12</t>
  </si>
  <si>
    <t>DSS-5А1</t>
  </si>
  <si>
    <t>DSS-5А2</t>
  </si>
  <si>
    <t>DSS-5Б</t>
  </si>
  <si>
    <t>DSS-5Б1</t>
  </si>
  <si>
    <t>DSS-5Б2</t>
  </si>
  <si>
    <t>KRD009B42GGDH</t>
  </si>
  <si>
    <t>Ставропольская ул.,53</t>
  </si>
  <si>
    <t>Б42</t>
  </si>
  <si>
    <t>4x12</t>
  </si>
  <si>
    <t>KrbilN077А5</t>
  </si>
  <si>
    <t>Суворова ул. (пересечение с ул. Дмитриевская Дамба)</t>
  </si>
  <si>
    <t>KRD0003A10KLDB</t>
  </si>
  <si>
    <t>Суворова ул./Гоголя ул.</t>
  </si>
  <si>
    <t>DSS-2А</t>
  </si>
  <si>
    <t>Тургеневское Шоссе ,17</t>
  </si>
  <si>
    <t>DSS-2Б</t>
  </si>
  <si>
    <t>KrbilN103А5</t>
  </si>
  <si>
    <t>Уральская (угол ул.им. Стасова)</t>
  </si>
  <si>
    <t>KRD0006A11KLDH</t>
  </si>
  <si>
    <t>Уральская ул., 126Б</t>
  </si>
  <si>
    <t>A11</t>
  </si>
  <si>
    <t>11x6</t>
  </si>
  <si>
    <t>ur_dj01</t>
  </si>
  <si>
    <t>Уральская, 210/9</t>
  </si>
  <si>
    <t>https://ra-matina.ru/?vendor_code=ur_dj01</t>
  </si>
  <si>
    <t>5x15</t>
  </si>
  <si>
    <t>1880x620</t>
  </si>
  <si>
    <t>DSS-4А</t>
  </si>
  <si>
    <t>Шоссе нефтяников, 13 - Красная- кинотеатр Аврора</t>
  </si>
  <si>
    <t>4 х 12</t>
  </si>
  <si>
    <t>DSS-4А1</t>
  </si>
  <si>
    <t>DSS-4А2</t>
  </si>
  <si>
    <t>DSS-4Б</t>
  </si>
  <si>
    <t>DSS-4Б1</t>
  </si>
  <si>
    <t>DSS-4Б2</t>
  </si>
  <si>
    <t>KRD0001A32KLDH</t>
  </si>
  <si>
    <t>Школьная  ул./ Филатова ул.</t>
  </si>
  <si>
    <t>A32</t>
  </si>
  <si>
    <t>АДРЕСНАЯ ПРОГРАММА (Афишные стенды)</t>
  </si>
  <si>
    <t>Печать - 800р.; Монтаж - 400р.</t>
  </si>
  <si>
    <t>KRD-002</t>
  </si>
  <si>
    <t>1- го Мая (рядом с № 30 по ул. Черкасской)</t>
  </si>
  <si>
    <t>1,8*2,4</t>
  </si>
  <si>
    <t>4 500</t>
  </si>
  <si>
    <t>KRD-003</t>
  </si>
  <si>
    <t>30-й Иркутской Дивизии (пресечение с ул. Уральской)</t>
  </si>
  <si>
    <t>KRD-004</t>
  </si>
  <si>
    <t>40-летия Победы (рядом с № 43)</t>
  </si>
  <si>
    <t>KRD-005</t>
  </si>
  <si>
    <t>Айвазовского (рядом с № 13 по ул. Бургасской)</t>
  </si>
  <si>
    <t>KRD-029</t>
  </si>
  <si>
    <t>Академика Лукьяненко (рядом с № 8)</t>
  </si>
  <si>
    <t>KRD-006</t>
  </si>
  <si>
    <t>Бершанской Евдокии(пашковская Площадь)</t>
  </si>
  <si>
    <t>KRD-007</t>
  </si>
  <si>
    <t>Воронежская (рядом с № 33, позиция 1)</t>
  </si>
  <si>
    <t>KRD-014</t>
  </si>
  <si>
    <t>Восточно-Кругликовская (рядом с № 45, позиция 1)</t>
  </si>
  <si>
    <t>KRD-015</t>
  </si>
  <si>
    <t>Восточно-Кругликовская (рядом с № 45, позиция 2)</t>
  </si>
  <si>
    <t>KRD-009</t>
  </si>
  <si>
    <t>Гаражная (рядом с № 87, позиция 2)</t>
  </si>
  <si>
    <t>KRD-013</t>
  </si>
  <si>
    <t>Космонавта Гагарина (рядом с № 132)</t>
  </si>
  <si>
    <t>KRD-035</t>
  </si>
  <si>
    <t>пересечение улиц Коммунаров и Путевая (позиция 2)</t>
  </si>
  <si>
    <t>KRD-034</t>
  </si>
  <si>
    <t>пересечение улиц Коммунаров и Путевая, позиция 1)</t>
  </si>
  <si>
    <t>KRD-033</t>
  </si>
  <si>
    <t>Красных Партизан (напротив № 77, позиция  2)</t>
  </si>
  <si>
    <t>KRD-032</t>
  </si>
  <si>
    <t>Красных Партизан (напротив № 77, позиция 1)</t>
  </si>
  <si>
    <t>KRD-010</t>
  </si>
  <si>
    <t>Лизы Чайкиной (рядом с № 1/5)</t>
  </si>
  <si>
    <t>KRD-011</t>
  </si>
  <si>
    <t>Лизы Чайкиной (рядом с № 110, позиция 1)</t>
  </si>
  <si>
    <t>KRD-012</t>
  </si>
  <si>
    <t>Лизы Чайкиной (рядом с № 110, позиция 2)</t>
  </si>
  <si>
    <t>KRD-030</t>
  </si>
  <si>
    <t>Митрофана Седина (рядом с № 52, позиция 1)</t>
  </si>
  <si>
    <t>KRD-031</t>
  </si>
  <si>
    <t>Митрофана Седина (рядом с № 52, позиция 2)</t>
  </si>
  <si>
    <t>KRD-027</t>
  </si>
  <si>
    <t>Новороссийская (рядом с № 192)</t>
  </si>
  <si>
    <t>KRD-028</t>
  </si>
  <si>
    <t>Новороссийская (рядом с № 212/1)</t>
  </si>
  <si>
    <t>KRD-026</t>
  </si>
  <si>
    <t>Онежская (рядом с № 68)</t>
  </si>
  <si>
    <t>KRD-016</t>
  </si>
  <si>
    <t>Речная (рядом с № 2)</t>
  </si>
  <si>
    <t>KRD-017</t>
  </si>
  <si>
    <t>Российская (рядом с № 77  (позиция 1)</t>
  </si>
  <si>
    <t>KRD-017-1</t>
  </si>
  <si>
    <t>Российская (рядом с № 77  (позиция 2)</t>
  </si>
  <si>
    <t>KRD-036</t>
  </si>
  <si>
    <t>Севастопольская (напротив № 265)</t>
  </si>
  <si>
    <t>KRD-038</t>
  </si>
  <si>
    <t>Селезнева (напротив № 1/1, позиция 2)</t>
  </si>
  <si>
    <t>KRD-039</t>
  </si>
  <si>
    <t>Совхозная (напротив № 43)</t>
  </si>
  <si>
    <t>KRD-040</t>
  </si>
  <si>
    <t>Сормовская (напротив № 2/3, позиция 1)</t>
  </si>
  <si>
    <t>KRD-041</t>
  </si>
  <si>
    <t>Сормовская (напротив № 2/3, позиция 2)</t>
  </si>
  <si>
    <t>KRD-043</t>
  </si>
  <si>
    <t>Сормовская (напротив № 81)</t>
  </si>
  <si>
    <t>KRD-042</t>
  </si>
  <si>
    <t>Сормовская (рядом с № 9)</t>
  </si>
  <si>
    <t>KRD-045</t>
  </si>
  <si>
    <t>Ставропольская (рядом с № 182)</t>
  </si>
  <si>
    <t>KRD-044</t>
  </si>
  <si>
    <t>Ставропольская (рядом с № 45/4)</t>
  </si>
  <si>
    <t>KRD-056</t>
  </si>
  <si>
    <t>Станкостроительная (напротив № 1, позиция 1)</t>
  </si>
  <si>
    <t>KRD-057</t>
  </si>
  <si>
    <t>Станкостроительная (напротив № 1, позиция 2)</t>
  </si>
  <si>
    <t>KRD-046</t>
  </si>
  <si>
    <t>Старокубанская (рядом с № 38/2)</t>
  </si>
  <si>
    <t>KRD-047</t>
  </si>
  <si>
    <t>Стасова (пересечение с ул. Уральской, позиция 1)</t>
  </si>
  <si>
    <t>KRD-048</t>
  </si>
  <si>
    <t>Суворова (напротив № 24, позиция 2)</t>
  </si>
  <si>
    <t>KRD-049</t>
  </si>
  <si>
    <t>Темрюкская (напротив № 60)</t>
  </si>
  <si>
    <t>KRD-050</t>
  </si>
  <si>
    <t>Тургенева (рядом с № 221)</t>
  </si>
  <si>
    <t>KRD-055</t>
  </si>
  <si>
    <t>Тюляева (рядом с № 16)</t>
  </si>
  <si>
    <t>KRD-001</t>
  </si>
  <si>
    <t>Уральская (рядом с №204)-1-го Мая</t>
  </si>
  <si>
    <t>KRD-051</t>
  </si>
  <si>
    <t>Уральская (напротив № 98/3, позиция 1</t>
  </si>
  <si>
    <t>KRD-052</t>
  </si>
  <si>
    <t>Уральская (напротив № 98/3, позиция 2</t>
  </si>
  <si>
    <t>KRD-053</t>
  </si>
  <si>
    <t>Уральская (рядом с № 152/В, позиция 1)</t>
  </si>
  <si>
    <t>KRD-054</t>
  </si>
  <si>
    <t>Уральская (рядом с № 152/В, позиция 2)</t>
  </si>
  <si>
    <t>KRD-019</t>
  </si>
  <si>
    <t>Чекистов 3/3 позиция 1</t>
  </si>
  <si>
    <t>KRD-020</t>
  </si>
  <si>
    <t>Чекистов 3/3 позиция 2</t>
  </si>
  <si>
    <t>KRD-021</t>
  </si>
  <si>
    <t>Чекистов 3/3 позиция 3</t>
  </si>
  <si>
    <t>KRD-022</t>
  </si>
  <si>
    <t>Чекистов 3/3 позиция 4</t>
  </si>
  <si>
    <t>АДРЕСНАЯ ПРОГРАММА (ПИЛОНЫ 1,2Х1,8) *СТАТУС СТОРОН УТОЧНЯЙТЕ У МЕНЕДЖЕРА</t>
  </si>
  <si>
    <t>Печать - 1600р.; Монтаж - 1500р.</t>
  </si>
  <si>
    <t>UM_SF_012</t>
  </si>
  <si>
    <t>Дзержинского - Хмельницкого 3</t>
  </si>
  <si>
    <t>12 600</t>
  </si>
  <si>
    <t>art_0065</t>
  </si>
  <si>
    <t>Красная  № 54- Ленина</t>
  </si>
  <si>
    <t>динамич.пилон</t>
  </si>
  <si>
    <t>14 000</t>
  </si>
  <si>
    <t>KrbpilN002Б1</t>
  </si>
  <si>
    <t>Красная (рядом с № 145.1, позиция 2)</t>
  </si>
  <si>
    <t>KrbpilN001А1</t>
  </si>
  <si>
    <t xml:space="preserve">Красная (рядом с № 145.1, позиция 2) </t>
  </si>
  <si>
    <t>art_0055</t>
  </si>
  <si>
    <t>Красная рядом с № 206 (к-тр Аврора, возле перехода) (из города)</t>
  </si>
  <si>
    <t>14 600</t>
  </si>
  <si>
    <t>KrbpilN004А</t>
  </si>
  <si>
    <t>Красная ул., 29 (позиция 2)</t>
  </si>
  <si>
    <t>KrbpilN004Б</t>
  </si>
  <si>
    <t>KrbpilN004_14А</t>
  </si>
  <si>
    <t>Красная улица д.204 Курганный переулок</t>
  </si>
  <si>
    <t>KrbpilN004_13А</t>
  </si>
  <si>
    <t>Красная улица д.79улица Горькогоулица Чапаева</t>
  </si>
  <si>
    <t>KrbpilN004_11А</t>
  </si>
  <si>
    <t>Красная улица, д.186, = Краснодарский машиносторительный колледж=</t>
  </si>
  <si>
    <t>art_0083</t>
  </si>
  <si>
    <t>Красная № 103/1 (Театральная Площадь)</t>
  </si>
  <si>
    <t>14 500</t>
  </si>
  <si>
    <t>art_0084</t>
  </si>
  <si>
    <t>12 900</t>
  </si>
  <si>
    <t>KrbpilN003А</t>
  </si>
  <si>
    <t xml:space="preserve">Красная № 67- Карасунская </t>
  </si>
  <si>
    <t>art_0039</t>
  </si>
  <si>
    <t>Красная- Горького</t>
  </si>
  <si>
    <t>П001А5</t>
  </si>
  <si>
    <t>Красная, рядом с №143</t>
  </si>
  <si>
    <t>10 000</t>
  </si>
  <si>
    <t>П001Б5</t>
  </si>
  <si>
    <t>9 000</t>
  </si>
  <si>
    <t>П001Б5-1</t>
  </si>
  <si>
    <t>Красная, рядом с №43</t>
  </si>
  <si>
    <t>П001Б5-2</t>
  </si>
  <si>
    <t>П002Б5</t>
  </si>
  <si>
    <t xml:space="preserve">Красная, рядом с №59 </t>
  </si>
  <si>
    <t>П002Б5-1</t>
  </si>
  <si>
    <t>П003А5</t>
  </si>
  <si>
    <t xml:space="preserve">Красная, рядом с №69 </t>
  </si>
  <si>
    <t>П003Б5</t>
  </si>
  <si>
    <t>П005А5</t>
  </si>
  <si>
    <t>Красная, рядом с №89</t>
  </si>
  <si>
    <t>П005Б5</t>
  </si>
  <si>
    <t>KrbpilN005А</t>
  </si>
  <si>
    <t>Кубанская Набережная ул., 166 (на разделительной полосе)</t>
  </si>
  <si>
    <t>KrbpilN006А</t>
  </si>
  <si>
    <t>Кубанская Набережная ул., 208 (на разделительной полосе)</t>
  </si>
  <si>
    <t>art_0060</t>
  </si>
  <si>
    <t>Кубанская Набережная № 230 (на разделительной полосе) (из города)</t>
  </si>
  <si>
    <t>art_0032</t>
  </si>
  <si>
    <t>Кубанская Набережная № 47 (на разделительной полосе) (в город)</t>
  </si>
  <si>
    <t>art_0031</t>
  </si>
  <si>
    <t>Кубанская Набережная № 47 (на разделительной полосе) (из города)</t>
  </si>
  <si>
    <t>KrbpilN007А</t>
  </si>
  <si>
    <t>Офицерская ул., (рядом с № 43, позиция  2)</t>
  </si>
  <si>
    <t>KrbpilN008А</t>
  </si>
  <si>
    <t>Офицерская ул., (рядом с № 43, позиция 1)</t>
  </si>
  <si>
    <t>art_0092</t>
  </si>
  <si>
    <t>Офицерская № 43-Красная (из города)</t>
  </si>
  <si>
    <t>14 200</t>
  </si>
  <si>
    <t>art_0036</t>
  </si>
  <si>
    <t>Северная- Коммунаров (в город)</t>
  </si>
  <si>
    <t>KRD048B1GGPP</t>
  </si>
  <si>
    <t>Ставропольская ул., 129</t>
  </si>
  <si>
    <t>13 125</t>
  </si>
  <si>
    <t>KrbpilN009А</t>
  </si>
  <si>
    <t xml:space="preserve">Ставропольская ул., 137 </t>
  </si>
  <si>
    <t>KrbpilN010Б</t>
  </si>
  <si>
    <t>KRD055B1GGPP</t>
  </si>
  <si>
    <t>Ставропольская ул., 151</t>
  </si>
  <si>
    <t>KRD046A1GGPP</t>
  </si>
  <si>
    <t>Ставропольская ул., 184 (позиция 2)</t>
  </si>
  <si>
    <t>13 755</t>
  </si>
  <si>
    <t>KRD046B1GGPP</t>
  </si>
  <si>
    <t>KRD059A1GGPP</t>
  </si>
  <si>
    <t>Ставропольская ул., 221/2</t>
  </si>
  <si>
    <t>KRD059B1GGPP</t>
  </si>
  <si>
    <t>KRD053B1GGPP</t>
  </si>
  <si>
    <t>Ставропольская ул., 222 (позиция 2)</t>
  </si>
  <si>
    <t>KrbpilN011Б</t>
  </si>
  <si>
    <t xml:space="preserve">Ставропольская ул., 234 </t>
  </si>
  <si>
    <t>KRD056A1GGPP</t>
  </si>
  <si>
    <t>KRD056B1GGPP</t>
  </si>
  <si>
    <t>KrbpilN012А</t>
  </si>
  <si>
    <t xml:space="preserve">Ставропольская ул., 236_4 </t>
  </si>
  <si>
    <t>KRD057B1GGPP</t>
  </si>
  <si>
    <t>Ставропольская ул., 236/4</t>
  </si>
  <si>
    <t>KRD058A1GGPP</t>
  </si>
  <si>
    <t>Ставропольская ул., 252/3</t>
  </si>
  <si>
    <t>art_0062</t>
  </si>
  <si>
    <t>Тургенева № 121 (из города)</t>
  </si>
  <si>
    <t>KRD060A1GGPP</t>
  </si>
  <si>
    <t xml:space="preserve">Уральская ул., 144 </t>
  </si>
  <si>
    <t>KRD060B1GGPP</t>
  </si>
  <si>
    <t>11 500</t>
  </si>
  <si>
    <t>KRD040B1GGPP</t>
  </si>
  <si>
    <t>Чекистов просп., 24 (позиция 1)</t>
  </si>
  <si>
    <t>KRD041B1GGPP</t>
  </si>
  <si>
    <t>Чекистов просп., 34 (позиция 3)</t>
  </si>
  <si>
    <t>!!! КРАСНОДАР   КРАСНОДАРСКИЙ КРАЙ    ЮФО   РОССИЯ!!!</t>
  </si>
  <si>
    <t>АДРЕСНАЯ ПРОГРАММА (БРАНДМАУЭРЫ) *СТАТУС СТОРОН УТОЧНЯЙТЕ У МЕНЕДЖЕРА</t>
  </si>
  <si>
    <t>Печать - от 80000р.; Монтаж - от 30000р.</t>
  </si>
  <si>
    <t>brand011</t>
  </si>
  <si>
    <t>Гудимы,25 из ТЦ Сити-центр</t>
  </si>
  <si>
    <t>B</t>
  </si>
  <si>
    <t>бранд 11х13,5</t>
  </si>
  <si>
    <t>140 000</t>
  </si>
  <si>
    <t>KrbraN004_1А</t>
  </si>
  <si>
    <t>Дзержинского  54 15 А (южная)</t>
  </si>
  <si>
    <t>бранд 11 х 18</t>
  </si>
  <si>
    <t>KrbraN004_1Б</t>
  </si>
  <si>
    <t>Дзержинского 54 15 Б (северная)</t>
  </si>
  <si>
    <t>brand003</t>
  </si>
  <si>
    <t>Дзержинского, 54/12 (южный фасад)</t>
  </si>
  <si>
    <t>бранд 11х22</t>
  </si>
  <si>
    <t>190 000</t>
  </si>
  <si>
    <t>brand004</t>
  </si>
  <si>
    <t>Дзержинского, 54/14</t>
  </si>
  <si>
    <t>brand006</t>
  </si>
  <si>
    <t>Дзержинского, 54/15 (северная сторона)</t>
  </si>
  <si>
    <t>brand005</t>
  </si>
  <si>
    <t>Дзержинского, 54/15 (южная сторона)</t>
  </si>
  <si>
    <t>KrbraN004С1</t>
  </si>
  <si>
    <t>Калинина,350_11 (ул.Кубанская Набережная)</t>
  </si>
  <si>
    <t>бранд 11х18</t>
  </si>
  <si>
    <t>brand010</t>
  </si>
  <si>
    <t>Калинина,350/11 ТЦ Карнавал</t>
  </si>
  <si>
    <t>brand009</t>
  </si>
  <si>
    <t>Калинина,350/9 ТЦ Карнавал</t>
  </si>
  <si>
    <t>KrbraN004С0</t>
  </si>
  <si>
    <t xml:space="preserve">Кореновская, 61 позиция ╣2 северная сторона </t>
  </si>
  <si>
    <t>бранд 10х20</t>
  </si>
  <si>
    <t>brand001</t>
  </si>
  <si>
    <t xml:space="preserve">Кореновская,61 (западная сторона) </t>
  </si>
  <si>
    <t>бранд 10х25</t>
  </si>
  <si>
    <t>130 000</t>
  </si>
  <si>
    <t>brand002</t>
  </si>
  <si>
    <t>Кореновская,61 (северная сторона)</t>
  </si>
  <si>
    <t>KrbraN006_1А0</t>
  </si>
  <si>
    <t>Леваневского , 191</t>
  </si>
  <si>
    <t>бранд 3х8</t>
  </si>
  <si>
    <t>KrbraN011Б0</t>
  </si>
  <si>
    <t>Суворова (Гудимы,25), р-н таможни, жд.вокзала</t>
  </si>
  <si>
    <t>KrbraN013А</t>
  </si>
  <si>
    <t>Тургенева, 17 (ТРЦ Карнавал), из города</t>
  </si>
  <si>
    <t>бранд 13х16</t>
  </si>
  <si>
    <t>brand008</t>
  </si>
  <si>
    <t>Тургенева,17 "Мега-Адыгея"</t>
  </si>
  <si>
    <t>бранд 13х22</t>
  </si>
  <si>
    <t>160 000</t>
  </si>
  <si>
    <t>brand007</t>
  </si>
  <si>
    <t>Тургенева,181</t>
  </si>
  <si>
    <t>бранд 10х18</t>
  </si>
  <si>
    <t>KrbraN018А</t>
  </si>
  <si>
    <t>Хакурате, 3</t>
  </si>
  <si>
    <t>бранд 3х7</t>
  </si>
  <si>
    <t>АДРЕСНАЯ ПРОГРАММА (Пиллары 1,4х3/тумбы) *СТАТУС СТОРОН УТОЧНЯЙТЕ У МЕНЕДЖЕРА</t>
  </si>
  <si>
    <t>Печать - 3900р.; Монтаж - 1500р</t>
  </si>
  <si>
    <t>TMB016</t>
  </si>
  <si>
    <t>40 лет Победы, рядом №43</t>
  </si>
  <si>
    <t>тумба 3х1,4м</t>
  </si>
  <si>
    <t>11 000</t>
  </si>
  <si>
    <t>TMB017</t>
  </si>
  <si>
    <t>В</t>
  </si>
  <si>
    <t>TMB014</t>
  </si>
  <si>
    <t>40 лет Победы, рядом №63</t>
  </si>
  <si>
    <t>TMB015</t>
  </si>
  <si>
    <t>KRD-063</t>
  </si>
  <si>
    <t>70-летия Октября (рядом с № 1/1)</t>
  </si>
  <si>
    <t>14 880</t>
  </si>
  <si>
    <t>KRD-063-1</t>
  </si>
  <si>
    <t>TMB020</t>
  </si>
  <si>
    <t>Береговая, рядом №144 (Дворец спорта Олимп),поз.1</t>
  </si>
  <si>
    <t>16 000</t>
  </si>
  <si>
    <t>TMB021</t>
  </si>
  <si>
    <t>art_0029</t>
  </si>
  <si>
    <t>Дзержинского- им. Александра Покрышкина (ТРК Красная Площадь)</t>
  </si>
  <si>
    <t>пиллар 1,4х3</t>
  </si>
  <si>
    <t>KRD-081</t>
  </si>
  <si>
    <t>Дмитрия Благоева (рядом с № 1)</t>
  </si>
  <si>
    <t>15 500</t>
  </si>
  <si>
    <t>KRD-081-1</t>
  </si>
  <si>
    <t>7 130</t>
  </si>
  <si>
    <t>art_0004</t>
  </si>
  <si>
    <t>Захарова- Индустриальная (Сити центр)1</t>
  </si>
  <si>
    <t>art_0005</t>
  </si>
  <si>
    <t>art_0006</t>
  </si>
  <si>
    <t>art_0007</t>
  </si>
  <si>
    <t>Захарова- Индустриальная (Сити центр)2</t>
  </si>
  <si>
    <t>art_0008</t>
  </si>
  <si>
    <t>art_0009</t>
  </si>
  <si>
    <t>KRD013A1GGPS</t>
  </si>
  <si>
    <t>Калинина ул., 329</t>
  </si>
  <si>
    <t>15 960</t>
  </si>
  <si>
    <t>KRD013C1GGPS</t>
  </si>
  <si>
    <t>10 600</t>
  </si>
  <si>
    <t>KRD-062</t>
  </si>
  <si>
    <t>Красная (напротив № 190, в центре бульвара)</t>
  </si>
  <si>
    <t>17 050</t>
  </si>
  <si>
    <t>KRD-062-1</t>
  </si>
  <si>
    <t>KRD-059</t>
  </si>
  <si>
    <t>Красная (напротив № 35, позиция 1)</t>
  </si>
  <si>
    <t>18 600</t>
  </si>
  <si>
    <t>KRD-059-1</t>
  </si>
  <si>
    <t>10 850</t>
  </si>
  <si>
    <t>KRD-060</t>
  </si>
  <si>
    <t>Красная (напротив № 35, позиция 2)</t>
  </si>
  <si>
    <t>KRD-074</t>
  </si>
  <si>
    <t>Красная (рядом с № 122, позиция 2)</t>
  </si>
  <si>
    <t>KRD-083</t>
  </si>
  <si>
    <t>Красная (рядом с № 206)</t>
  </si>
  <si>
    <t>14 260</t>
  </si>
  <si>
    <t>TMB007</t>
  </si>
  <si>
    <t>Красная, напротив № 152 (Интурист)</t>
  </si>
  <si>
    <t>TMB009</t>
  </si>
  <si>
    <t>Красная, напротив №165, поз.1</t>
  </si>
  <si>
    <t>TMB010</t>
  </si>
  <si>
    <t>TMB011</t>
  </si>
  <si>
    <t>Красная, напротив №165, поз.2</t>
  </si>
  <si>
    <t>TMB012</t>
  </si>
  <si>
    <t>TMB008</t>
  </si>
  <si>
    <t>Красная, напротив №174 (в центре бульвара)</t>
  </si>
  <si>
    <t>TMB006</t>
  </si>
  <si>
    <t>Красная, напротив №83 Горького</t>
  </si>
  <si>
    <t>TMB003</t>
  </si>
  <si>
    <t>Красная, рядом №27 Орджоникидзе</t>
  </si>
  <si>
    <t>TMB004</t>
  </si>
  <si>
    <t>TMB001</t>
  </si>
  <si>
    <t>Красная, рядом №44 (муз. театр) поз. 2</t>
  </si>
  <si>
    <t>TMB002</t>
  </si>
  <si>
    <t>TMB005</t>
  </si>
  <si>
    <t>Красная, рядом №75 Чапаева</t>
  </si>
  <si>
    <t>KRD-058-1</t>
  </si>
  <si>
    <t>Красная/Советская (площадь А.С.Пушкина, позиция 1)</t>
  </si>
  <si>
    <t>16 500</t>
  </si>
  <si>
    <t>KRD-058</t>
  </si>
  <si>
    <t>KRD021C2GGPS</t>
  </si>
  <si>
    <t>Красноармейская ул., 50/1</t>
  </si>
  <si>
    <t>С2</t>
  </si>
  <si>
    <t>TMB024</t>
  </si>
  <si>
    <t>Кубанская Набережная, рядом №1.1</t>
  </si>
  <si>
    <t>TMB025</t>
  </si>
  <si>
    <t>KRD-071</t>
  </si>
  <si>
    <t>Мира 35-Красная</t>
  </si>
  <si>
    <t>13 950</t>
  </si>
  <si>
    <t>KRD-072</t>
  </si>
  <si>
    <t>Мира 35-Красноармейская</t>
  </si>
  <si>
    <t>KRD-072-1</t>
  </si>
  <si>
    <t>9 300</t>
  </si>
  <si>
    <t>KRD022B1GGPS</t>
  </si>
  <si>
    <t>Мира ул., 90</t>
  </si>
  <si>
    <t>15 100</t>
  </si>
  <si>
    <t>KRD022C1GGPS</t>
  </si>
  <si>
    <t>art_0003</t>
  </si>
  <si>
    <t>Мира- Седина</t>
  </si>
  <si>
    <t>KRD-078</t>
  </si>
  <si>
    <t>Митрофана Седина (рядом с № 4, позиция 1)</t>
  </si>
  <si>
    <t>12 400</t>
  </si>
  <si>
    <t>KRD-079</t>
  </si>
  <si>
    <t>Митрофана Седина (рядом с № 4, позиция 2)</t>
  </si>
  <si>
    <t>KRD-079-1</t>
  </si>
  <si>
    <t>KRD-080</t>
  </si>
  <si>
    <t>Митрофана Седина (рядом с № 4, позиция 3)</t>
  </si>
  <si>
    <t>KRD027B1GGPS</t>
  </si>
  <si>
    <t>Митрофана Седина ул., 4</t>
  </si>
  <si>
    <t>KRD-084</t>
  </si>
  <si>
    <t>Немецкая деревня ул. Баварская, (рядом с № 6)</t>
  </si>
  <si>
    <t>KRD023C1GGPS</t>
  </si>
  <si>
    <t>Октябрьская ул., 171 (Сенной рынок)</t>
  </si>
  <si>
    <t>KRD023B1GGPS</t>
  </si>
  <si>
    <t>KRD023A1GGPS</t>
  </si>
  <si>
    <t>17 535</t>
  </si>
  <si>
    <t>KRD014C2GGPS</t>
  </si>
  <si>
    <t>Октябрьская ул.,/Длинная ул. (Сенной рынок)</t>
  </si>
  <si>
    <t>TMB022</t>
  </si>
  <si>
    <t>Октябрьская,Постовая напротив № 43 (в центре бульвара)</t>
  </si>
  <si>
    <t>TMB023</t>
  </si>
  <si>
    <t>TMB028</t>
  </si>
  <si>
    <t>Переходная (вблизи входной арки стадиона "Кубань")</t>
  </si>
  <si>
    <t>KRD-075</t>
  </si>
  <si>
    <t>площадь Театральная (рядом с № 2, позиция 1)</t>
  </si>
  <si>
    <t>KRD-075-1</t>
  </si>
  <si>
    <t>KRD-077</t>
  </si>
  <si>
    <t>площадь Театральная (рядом с № 2, позиция 3)</t>
  </si>
  <si>
    <t>KRD-077-1</t>
  </si>
  <si>
    <t>KRD-077-2</t>
  </si>
  <si>
    <t>TMB018</t>
  </si>
  <si>
    <t>проспект Чекистов, напротив №20 в центре бульвара</t>
  </si>
  <si>
    <t>TMB019</t>
  </si>
  <si>
    <t>KRD012B2GGPS</t>
  </si>
  <si>
    <t>Северная ул.,/Леваневского ул.</t>
  </si>
  <si>
    <t>13 700</t>
  </si>
  <si>
    <t>TMB013</t>
  </si>
  <si>
    <t>Седина, напротив №35 Мира</t>
  </si>
  <si>
    <t>KRD-064</t>
  </si>
  <si>
    <t>Ставропольская (напротив № 100, позиция 1)</t>
  </si>
  <si>
    <t>KRD-065</t>
  </si>
  <si>
    <t>Ставропольская (напротив № 100, позиция 2)</t>
  </si>
  <si>
    <t>KRD-065-1</t>
  </si>
  <si>
    <t>KRD-082</t>
  </si>
  <si>
    <t>Ставропольская (рядом с № 151)</t>
  </si>
  <si>
    <t>6 200</t>
  </si>
  <si>
    <t>KRD-066</t>
  </si>
  <si>
    <t>Ставропольская (рядом с № 184)</t>
  </si>
  <si>
    <t>KRD-066-1</t>
  </si>
  <si>
    <t>KRD-067</t>
  </si>
  <si>
    <t>Ставропольская (рядом с № 236, позиция 1)</t>
  </si>
  <si>
    <t>KRD-067-1</t>
  </si>
  <si>
    <t>KRD-068</t>
  </si>
  <si>
    <t>Ставропольская (рядом с № 236, позиция 2)</t>
  </si>
  <si>
    <t>KRD-068-1</t>
  </si>
  <si>
    <t>KRD-069</t>
  </si>
  <si>
    <t>Ставропольская (рядом с № 236, позиция 3)</t>
  </si>
  <si>
    <t>KRD-069-1</t>
  </si>
  <si>
    <t>KRD028C1GGPS</t>
  </si>
  <si>
    <t>Ставропольская ул., 214/3</t>
  </si>
  <si>
    <t>KRD008C1GGPS</t>
  </si>
  <si>
    <t>Ставропольская ул., 97</t>
  </si>
  <si>
    <t>art_0021</t>
  </si>
  <si>
    <t>Ставропольская № 100 (рынок Вишняки)</t>
  </si>
  <si>
    <t>art_0017</t>
  </si>
  <si>
    <t>Ставропольская № 184</t>
  </si>
  <si>
    <t>art_0018</t>
  </si>
  <si>
    <t>art_0015</t>
  </si>
  <si>
    <t>Ставропольская № 193</t>
  </si>
  <si>
    <t>art_0011</t>
  </si>
  <si>
    <t>Ставропольская № 252/4</t>
  </si>
  <si>
    <t>art_0012</t>
  </si>
  <si>
    <t>TMB026</t>
  </si>
  <si>
    <t>Ставропольская, рядом №159 (р-н Бургас), поз.1</t>
  </si>
  <si>
    <t>TMB027</t>
  </si>
  <si>
    <t>art_0027</t>
  </si>
  <si>
    <t>Тургенева № 131- Гагарина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</si>
</sst>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[$-10419]#,##0.00;\-#,##0.00"/>
    <numFmt numFmtId="166" formatCode="_-* #,##0_р_._-;\-* #,##0_р_._-;_-* \-??_р_._-;_-@"/>
  </numFmts>
  <fonts count="46">
    <font>
      <sz val="11.0"/>
      <color rgb="FF000000"/>
      <name val="Calibri"/>
      <scheme val="minor"/>
    </font>
    <font>
      <b/>
      <sz val="10.0"/>
      <color rgb="FF000000"/>
      <name val="Calibri"/>
    </font>
    <font>
      <b/>
      <sz val="11.0"/>
      <color rgb="FF000000"/>
      <name val="Open Sans"/>
    </font>
    <font/>
    <font>
      <b/>
      <sz val="10.0"/>
      <color rgb="FF000080"/>
      <name val="Times New Roman"/>
    </font>
    <font>
      <b/>
      <sz val="16.0"/>
      <color rgb="FF000080"/>
      <name val="Calibri"/>
    </font>
    <font>
      <b/>
      <sz val="11.0"/>
      <color rgb="FFFF0000"/>
      <name val="Open Sans"/>
    </font>
    <font>
      <b/>
      <sz val="10.0"/>
      <color rgb="FF000000"/>
      <name val="Open Sans"/>
    </font>
    <font>
      <u/>
      <sz val="10.0"/>
      <color theme="10"/>
      <name val="Calibri"/>
    </font>
    <font>
      <sz val="10.0"/>
      <color rgb="FF000000"/>
      <name val="Open Sans"/>
    </font>
    <font>
      <u/>
      <sz val="10.0"/>
      <color rgb="FF0000FF"/>
      <name val="Calibri"/>
    </font>
    <font>
      <b/>
      <color rgb="FF000000"/>
      <name val="Open Sans"/>
    </font>
    <font>
      <u/>
      <sz val="10.0"/>
      <color theme="10"/>
      <name val="Open Sans"/>
    </font>
    <font>
      <b/>
      <sz val="10.0"/>
      <color rgb="FF000080"/>
      <name val="Open Sans"/>
    </font>
    <font>
      <sz val="10.0"/>
      <color rgb="FF0000FF"/>
      <name val="Open Sans"/>
    </font>
    <font>
      <b/>
      <sz val="12.0"/>
      <color rgb="FF000080"/>
      <name val="Calibri"/>
    </font>
    <font>
      <sz val="11.0"/>
      <color rgb="FF000000"/>
      <name val="Calibri"/>
    </font>
    <font>
      <b/>
      <sz val="10.0"/>
      <color theme="1"/>
      <name val="Open Sans"/>
    </font>
    <font>
      <sz val="10.0"/>
      <color theme="1"/>
      <name val="Open Sans"/>
    </font>
    <font>
      <b/>
      <sz val="10.0"/>
      <color rgb="FF1F1F1F"/>
      <name val="Open Sans"/>
    </font>
    <font>
      <u/>
      <sz val="10.0"/>
      <color rgb="FF0000FF"/>
      <name val="Open Sans"/>
    </font>
    <font>
      <sz val="8.0"/>
      <color rgb="FF000000"/>
      <name val="Arial"/>
    </font>
    <font>
      <sz val="8.0"/>
      <color theme="1"/>
      <name val="Arial"/>
    </font>
    <font>
      <color theme="1"/>
      <name val="Calibri"/>
    </font>
    <font>
      <b/>
      <color theme="1"/>
      <name val="Open Sans"/>
    </font>
    <font>
      <u/>
      <color rgb="FF0000FF"/>
      <name val="Calibri"/>
    </font>
    <font>
      <sz val="11.0"/>
      <color theme="1"/>
      <name val="Calibri"/>
    </font>
    <font>
      <u/>
      <color rgb="FF0000FF"/>
      <name val="Calibri"/>
    </font>
    <font>
      <u/>
      <color rgb="FF0000FF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rgb="FF0000FF"/>
      <name val="Calibri"/>
    </font>
    <font>
      <u/>
      <sz val="10.0"/>
      <color theme="10"/>
      <name val="Calibri"/>
    </font>
    <font>
      <u/>
      <sz val="10.0"/>
      <color rgb="FF0000FF"/>
      <name val="Open Sans"/>
    </font>
    <font>
      <u/>
      <sz val="10.0"/>
      <color rgb="FF0000FF"/>
      <name val="Open Sans"/>
    </font>
    <font>
      <u/>
      <color rgb="FF0000FF"/>
      <name val="Calibri"/>
    </font>
    <font>
      <u/>
      <sz val="10.0"/>
      <color theme="10"/>
      <name val="Calibri"/>
    </font>
    <font>
      <sz val="10.0"/>
      <color rgb="FF000000"/>
      <name val="Arial"/>
    </font>
    <font>
      <b/>
      <sz val="10.0"/>
      <color rgb="FF1A1A1A"/>
      <name val="Open Sans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b/>
      <sz val="10.0"/>
      <color theme="1"/>
      <name val="Arial"/>
    </font>
    <font>
      <b/>
      <color theme="1"/>
      <name val="Arial"/>
    </font>
    <font>
      <color theme="1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/>
    </border>
    <border>
      <top/>
    </border>
    <border>
      <left/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1" fillId="2" fontId="1" numFmtId="4" xfId="0" applyAlignment="1" applyBorder="1" applyFill="1" applyFont="1" applyNumberFormat="1">
      <alignment horizont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4" fontId="2" numFmtId="0" xfId="0" applyAlignment="1" applyBorder="1" applyFill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9" fillId="3" fontId="4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left" vertical="center"/>
    </xf>
    <xf borderId="10" fillId="4" fontId="5" numFmtId="0" xfId="0" applyAlignment="1" applyBorder="1" applyFont="1">
      <alignment horizontal="center" vertical="center"/>
    </xf>
    <xf borderId="11" fillId="0" fontId="3" numFmtId="0" xfId="0" applyBorder="1" applyFont="1"/>
    <xf borderId="12" fillId="0" fontId="3" numFmtId="0" xfId="0" applyBorder="1" applyFont="1"/>
    <xf borderId="0" fillId="0" fontId="6" numFmtId="0" xfId="0" applyAlignment="1" applyFont="1">
      <alignment horizontal="center"/>
    </xf>
    <xf borderId="9" fillId="5" fontId="7" numFmtId="0" xfId="0" applyAlignment="1" applyBorder="1" applyFill="1" applyFont="1">
      <alignment horizontal="center" vertical="center"/>
    </xf>
    <xf borderId="9" fillId="2" fontId="7" numFmtId="0" xfId="0" applyAlignment="1" applyBorder="1" applyFont="1">
      <alignment horizontal="left"/>
    </xf>
    <xf borderId="9" fillId="0" fontId="8" numFmtId="0" xfId="0" applyAlignment="1" applyBorder="1" applyFont="1">
      <alignment horizontal="left"/>
    </xf>
    <xf borderId="9" fillId="5" fontId="7" numFmtId="0" xfId="0" applyAlignment="1" applyBorder="1" applyFont="1">
      <alignment horizontal="center"/>
    </xf>
    <xf borderId="9" fillId="6" fontId="7" numFmtId="0" xfId="0" applyAlignment="1" applyBorder="1" applyFill="1" applyFont="1">
      <alignment horizontal="center" vertical="center"/>
    </xf>
    <xf borderId="9" fillId="5" fontId="9" numFmtId="0" xfId="0" applyAlignment="1" applyBorder="1" applyFont="1">
      <alignment horizontal="center"/>
    </xf>
    <xf borderId="9" fillId="5" fontId="9" numFmtId="3" xfId="0" applyAlignment="1" applyBorder="1" applyFont="1" applyNumberFormat="1">
      <alignment horizontal="center" vertical="center"/>
    </xf>
    <xf borderId="9" fillId="6" fontId="7" numFmtId="0" xfId="0" applyAlignment="1" applyBorder="1" applyFont="1">
      <alignment horizontal="center"/>
    </xf>
    <xf borderId="9" fillId="5" fontId="1" numFmtId="0" xfId="0" applyAlignment="1" applyBorder="1" applyFont="1">
      <alignment horizontal="center"/>
    </xf>
    <xf borderId="9" fillId="0" fontId="10" numFmtId="0" xfId="0" applyAlignment="1" applyBorder="1" applyFont="1">
      <alignment horizontal="left"/>
    </xf>
    <xf borderId="9" fillId="5" fontId="9" numFmtId="3" xfId="0" applyAlignment="1" applyBorder="1" applyFont="1" applyNumberFormat="1">
      <alignment horizontal="center" readingOrder="0" vertical="center"/>
    </xf>
    <xf borderId="0" fillId="2" fontId="11" numFmtId="0" xfId="0" applyAlignment="1" applyFont="1">
      <alignment horizontal="left"/>
    </xf>
    <xf borderId="9" fillId="5" fontId="7" numFmtId="0" xfId="0" applyAlignment="1" applyBorder="1" applyFont="1">
      <alignment horizontal="center" readingOrder="0" vertical="center"/>
    </xf>
    <xf borderId="9" fillId="2" fontId="7" numFmtId="0" xfId="0" applyAlignment="1" applyBorder="1" applyFont="1">
      <alignment horizontal="left" readingOrder="0"/>
    </xf>
    <xf borderId="9" fillId="0" fontId="12" numFmtId="0" xfId="0" applyAlignment="1" applyBorder="1" applyFont="1">
      <alignment horizontal="left" readingOrder="0"/>
    </xf>
    <xf borderId="9" fillId="5" fontId="13" numFmtId="0" xfId="0" applyAlignment="1" applyBorder="1" applyFont="1">
      <alignment horizontal="center" vertical="center"/>
    </xf>
    <xf borderId="0" fillId="0" fontId="1" numFmtId="0" xfId="0" applyFont="1"/>
    <xf borderId="9" fillId="0" fontId="14" numFmtId="0" xfId="0" applyAlignment="1" applyBorder="1" applyFont="1">
      <alignment horizontal="left" readingOrder="0"/>
    </xf>
    <xf borderId="9" fillId="6" fontId="7" numFmtId="0" xfId="0" applyAlignment="1" applyBorder="1" applyFont="1">
      <alignment horizontal="center" readingOrder="0" vertical="center"/>
    </xf>
    <xf borderId="9" fillId="5" fontId="7" numFmtId="0" xfId="0" applyAlignment="1" applyBorder="1" applyFont="1">
      <alignment horizontal="center" readingOrder="0"/>
    </xf>
    <xf borderId="9" fillId="5" fontId="9" numFmtId="0" xfId="0" applyAlignment="1" applyBorder="1" applyFont="1">
      <alignment horizontal="center" readingOrder="0"/>
    </xf>
    <xf borderId="9" fillId="6" fontId="7" numFmtId="0" xfId="0" applyAlignment="1" applyBorder="1" applyFont="1">
      <alignment horizontal="center" readingOrder="0"/>
    </xf>
    <xf borderId="9" fillId="5" fontId="7" numFmtId="0" xfId="0" applyAlignment="1" applyBorder="1" applyFont="1">
      <alignment horizontal="center" vertical="top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13" fillId="2" fontId="15" numFmtId="0" xfId="0" applyAlignment="1" applyBorder="1" applyFont="1">
      <alignment horizontal="left" vertical="center"/>
    </xf>
    <xf borderId="6" fillId="3" fontId="2" numFmtId="0" xfId="0" applyAlignment="1" applyBorder="1" applyFont="1">
      <alignment horizontal="center" vertical="center"/>
    </xf>
    <xf borderId="14" fillId="0" fontId="3" numFmtId="0" xfId="0" applyBorder="1" applyFont="1"/>
    <xf borderId="15" fillId="4" fontId="1" numFmtId="0" xfId="0" applyBorder="1" applyFont="1"/>
    <xf borderId="15" fillId="4" fontId="16" numFmtId="0" xfId="0" applyBorder="1" applyFont="1"/>
    <xf borderId="15" fillId="4" fontId="1" numFmtId="0" xfId="0" applyAlignment="1" applyBorder="1" applyFont="1">
      <alignment horizontal="center" vertical="top"/>
    </xf>
    <xf borderId="9" fillId="3" fontId="13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center"/>
    </xf>
    <xf borderId="16" fillId="4" fontId="5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9" fillId="5" fontId="17" numFmtId="0" xfId="0" applyAlignment="1" applyBorder="1" applyFont="1">
      <alignment horizontal="center" vertical="center"/>
    </xf>
    <xf borderId="9" fillId="2" fontId="7" numFmtId="0" xfId="0" applyAlignment="1" applyBorder="1" applyFont="1">
      <alignment horizontal="left" vertical="center"/>
    </xf>
    <xf borderId="9" fillId="5" fontId="17" numFmtId="0" xfId="0" applyAlignment="1" applyBorder="1" applyFont="1">
      <alignment horizontal="center"/>
    </xf>
    <xf borderId="9" fillId="5" fontId="18" numFmtId="0" xfId="0" applyAlignment="1" applyBorder="1" applyFont="1">
      <alignment horizontal="center"/>
    </xf>
    <xf borderId="9" fillId="5" fontId="17" numFmtId="0" xfId="0" applyAlignment="1" applyBorder="1" applyFont="1">
      <alignment horizontal="center" shrinkToFit="0" vertical="top" wrapText="1"/>
    </xf>
    <xf borderId="9" fillId="5" fontId="9" numFmtId="0" xfId="0" applyAlignment="1" applyBorder="1" applyFont="1">
      <alignment horizontal="center" vertical="top"/>
    </xf>
    <xf borderId="19" fillId="4" fontId="5" numFmtId="0" xfId="0" applyAlignment="1" applyBorder="1" applyFont="1">
      <alignment horizontal="center" vertical="center"/>
    </xf>
    <xf borderId="9" fillId="2" fontId="7" numFmtId="0" xfId="0" applyAlignment="1" applyBorder="1" applyFont="1">
      <alignment horizontal="left" readingOrder="0" vertical="center"/>
    </xf>
    <xf borderId="9" fillId="2" fontId="19" numFmtId="0" xfId="0" applyAlignment="1" applyBorder="1" applyFont="1">
      <alignment horizontal="left"/>
    </xf>
    <xf borderId="9" fillId="5" fontId="18" numFmtId="0" xfId="0" applyAlignment="1" applyBorder="1" applyFont="1">
      <alignment horizontal="center" readingOrder="0"/>
    </xf>
    <xf borderId="9" fillId="5" fontId="17" numFmtId="0" xfId="0" applyAlignment="1" applyBorder="1" applyFont="1">
      <alignment horizontal="center" readingOrder="0" vertical="center"/>
    </xf>
    <xf borderId="9" fillId="0" fontId="20" numFmtId="0" xfId="0" applyAlignment="1" applyBorder="1" applyFont="1">
      <alignment horizontal="left" readingOrder="0"/>
    </xf>
    <xf borderId="9" fillId="5" fontId="17" numFmtId="0" xfId="0" applyAlignment="1" applyBorder="1" applyFont="1">
      <alignment horizontal="center" readingOrder="0"/>
    </xf>
    <xf borderId="15" fillId="2" fontId="19" numFmtId="0" xfId="0" applyAlignment="1" applyBorder="1" applyFont="1">
      <alignment horizontal="center"/>
    </xf>
    <xf borderId="15" fillId="2" fontId="21" numFmtId="0" xfId="0" applyBorder="1" applyFont="1"/>
    <xf borderId="20" fillId="4" fontId="2" numFmtId="0" xfId="0" applyAlignment="1" applyBorder="1" applyFont="1">
      <alignment horizontal="center" vertical="center"/>
    </xf>
    <xf borderId="21" fillId="0" fontId="3" numFmtId="0" xfId="0" applyBorder="1" applyFont="1"/>
    <xf borderId="22" fillId="0" fontId="3" numFmtId="0" xfId="0" applyBorder="1" applyFont="1"/>
    <xf borderId="6" fillId="4" fontId="5" numFmtId="0" xfId="0" applyAlignment="1" applyBorder="1" applyFont="1">
      <alignment horizontal="left" vertical="center"/>
    </xf>
    <xf borderId="9" fillId="3" fontId="13" numFmtId="0" xfId="0" applyAlignment="1" applyBorder="1" applyFont="1">
      <alignment horizontal="center" shrinkToFit="0" vertical="center" wrapText="1"/>
    </xf>
    <xf borderId="10" fillId="3" fontId="13" numFmtId="0" xfId="0" applyAlignment="1" applyBorder="1" applyFont="1">
      <alignment horizontal="center" vertical="center"/>
    </xf>
    <xf borderId="0" fillId="0" fontId="17" numFmtId="0" xfId="0" applyFont="1"/>
    <xf borderId="0" fillId="0" fontId="22" numFmtId="0" xfId="0" applyFont="1"/>
    <xf borderId="0" fillId="4" fontId="23" numFmtId="0" xfId="0" applyFont="1"/>
    <xf borderId="15" fillId="4" fontId="21" numFmtId="0" xfId="0" applyBorder="1" applyFont="1"/>
    <xf borderId="9" fillId="5" fontId="24" numFmtId="0" xfId="0" applyAlignment="1" applyBorder="1" applyFont="1">
      <alignment horizontal="center" vertical="bottom"/>
    </xf>
    <xf borderId="9" fillId="0" fontId="24" numFmtId="0" xfId="0" applyAlignment="1" applyBorder="1" applyFont="1">
      <alignment vertical="bottom"/>
    </xf>
    <xf borderId="9" fillId="0" fontId="25" numFmtId="0" xfId="0" applyAlignment="1" applyBorder="1" applyFont="1">
      <alignment vertical="bottom"/>
    </xf>
    <xf borderId="9" fillId="6" fontId="24" numFmtId="0" xfId="0" applyAlignment="1" applyBorder="1" applyFont="1">
      <alignment horizontal="center" vertical="bottom"/>
    </xf>
    <xf borderId="9" fillId="0" fontId="24" numFmtId="164" xfId="0" applyAlignment="1" applyBorder="1" applyFont="1" applyNumberFormat="1">
      <alignment horizontal="center" vertical="bottom"/>
    </xf>
    <xf borderId="9" fillId="0" fontId="24" numFmtId="0" xfId="0" applyAlignment="1" applyBorder="1" applyFont="1">
      <alignment horizontal="center" vertical="bottom"/>
    </xf>
    <xf borderId="9" fillId="0" fontId="24" numFmtId="2" xfId="0" applyAlignment="1" applyBorder="1" applyFont="1" applyNumberFormat="1">
      <alignment horizontal="center" vertical="bottom"/>
    </xf>
    <xf borderId="0" fillId="0" fontId="26" numFmtId="0" xfId="0" applyAlignment="1" applyFont="1">
      <alignment vertical="bottom"/>
    </xf>
    <xf borderId="9" fillId="5" fontId="24" numFmtId="14" xfId="0" applyAlignment="1" applyBorder="1" applyFont="1" applyNumberFormat="1">
      <alignment horizontal="center" vertical="bottom"/>
    </xf>
    <xf borderId="12" fillId="0" fontId="24" numFmtId="0" xfId="0" applyAlignment="1" applyBorder="1" applyFont="1">
      <alignment vertical="bottom"/>
    </xf>
    <xf borderId="12" fillId="0" fontId="27" numFmtId="0" xfId="0" applyAlignment="1" applyBorder="1" applyFont="1">
      <alignment vertical="bottom"/>
    </xf>
    <xf borderId="12" fillId="5" fontId="24" numFmtId="14" xfId="0" applyAlignment="1" applyBorder="1" applyFont="1" applyNumberFormat="1">
      <alignment horizontal="center" vertical="bottom"/>
    </xf>
    <xf borderId="12" fillId="6" fontId="24" numFmtId="0" xfId="0" applyAlignment="1" applyBorder="1" applyFont="1">
      <alignment horizontal="center" vertical="bottom"/>
    </xf>
    <xf borderId="12" fillId="0" fontId="24" numFmtId="164" xfId="0" applyAlignment="1" applyBorder="1" applyFont="1" applyNumberFormat="1">
      <alignment horizontal="center" vertical="bottom"/>
    </xf>
    <xf borderId="12" fillId="0" fontId="24" numFmtId="0" xfId="0" applyAlignment="1" applyBorder="1" applyFont="1">
      <alignment horizontal="center" vertical="bottom"/>
    </xf>
    <xf borderId="12" fillId="0" fontId="24" numFmtId="2" xfId="0" applyAlignment="1" applyBorder="1" applyFont="1" applyNumberFormat="1">
      <alignment horizontal="center" vertical="bottom"/>
    </xf>
    <xf borderId="12" fillId="5" fontId="24" numFmtId="0" xfId="0" applyAlignment="1" applyBorder="1" applyFont="1">
      <alignment horizontal="center" vertical="bottom"/>
    </xf>
    <xf borderId="8" fillId="5" fontId="24" numFmtId="0" xfId="0" applyAlignment="1" applyBorder="1" applyFont="1">
      <alignment horizontal="center" vertical="bottom"/>
    </xf>
    <xf borderId="23" fillId="0" fontId="24" numFmtId="0" xfId="0" applyAlignment="1" applyBorder="1" applyFont="1">
      <alignment vertical="bottom"/>
    </xf>
    <xf borderId="23" fillId="5" fontId="24" numFmtId="14" xfId="0" applyAlignment="1" applyBorder="1" applyFont="1" applyNumberFormat="1">
      <alignment horizontal="center" vertical="bottom"/>
    </xf>
    <xf borderId="23" fillId="6" fontId="24" numFmtId="0" xfId="0" applyAlignment="1" applyBorder="1" applyFont="1">
      <alignment horizontal="center" vertical="bottom"/>
    </xf>
    <xf borderId="23" fillId="0" fontId="24" numFmtId="164" xfId="0" applyAlignment="1" applyBorder="1" applyFont="1" applyNumberFormat="1">
      <alignment horizontal="center" vertical="bottom"/>
    </xf>
    <xf borderId="23" fillId="0" fontId="24" numFmtId="0" xfId="0" applyAlignment="1" applyBorder="1" applyFont="1">
      <alignment horizontal="center" vertical="bottom"/>
    </xf>
    <xf borderId="23" fillId="0" fontId="24" numFmtId="2" xfId="0" applyAlignment="1" applyBorder="1" applyFont="1" applyNumberFormat="1">
      <alignment horizontal="center" vertical="bottom"/>
    </xf>
    <xf borderId="23" fillId="5" fontId="24" numFmtId="0" xfId="0" applyAlignment="1" applyBorder="1" applyFont="1">
      <alignment horizontal="center" vertical="bottom"/>
    </xf>
    <xf borderId="23" fillId="0" fontId="28" numFmtId="0" xfId="0" applyAlignment="1" applyBorder="1" applyFont="1">
      <alignment vertical="bottom"/>
    </xf>
    <xf borderId="23" fillId="5" fontId="24" numFmtId="0" xfId="0" applyAlignment="1" applyBorder="1" applyFont="1">
      <alignment horizontal="right" vertical="bottom"/>
    </xf>
    <xf borderId="23" fillId="5" fontId="26" numFmtId="14" xfId="0" applyAlignment="1" applyBorder="1" applyFont="1" applyNumberFormat="1">
      <alignment vertical="bottom"/>
    </xf>
    <xf borderId="23" fillId="5" fontId="17" numFmtId="0" xfId="0" applyAlignment="1" applyBorder="1" applyFont="1">
      <alignment horizontal="center" vertical="bottom"/>
    </xf>
    <xf borderId="9" fillId="7" fontId="17" numFmtId="0" xfId="0" applyAlignment="1" applyBorder="1" applyFill="1" applyFont="1">
      <alignment horizontal="center" shrinkToFit="0" vertical="center" wrapText="1"/>
    </xf>
    <xf borderId="9" fillId="2" fontId="29" numFmtId="0" xfId="0" applyAlignment="1" applyBorder="1" applyFont="1">
      <alignment horizontal="left"/>
    </xf>
    <xf borderId="9" fillId="6" fontId="1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/>
    </xf>
    <xf borderId="0" fillId="0" fontId="21" numFmtId="0" xfId="0" applyFont="1"/>
    <xf borderId="9" fillId="5" fontId="7" numFmtId="0" xfId="0" applyAlignment="1" applyBorder="1" applyFont="1">
      <alignment horizontal="center" readingOrder="1" shrinkToFit="0" vertical="top" wrapText="1"/>
    </xf>
    <xf borderId="9" fillId="0" fontId="24" numFmtId="0" xfId="0" applyAlignment="1" applyBorder="1" applyFont="1">
      <alignment horizontal="left" vertical="bottom"/>
    </xf>
    <xf borderId="9" fillId="0" fontId="17" numFmtId="0" xfId="0" applyAlignment="1" applyBorder="1" applyFont="1">
      <alignment horizontal="left" shrinkToFit="0" wrapText="1"/>
    </xf>
    <xf borderId="9" fillId="0" fontId="30" numFmtId="0" xfId="0" applyAlignment="1" applyBorder="1" applyFont="1">
      <alignment horizontal="left" shrinkToFit="0" wrapText="1"/>
    </xf>
    <xf borderId="9" fillId="5" fontId="17" numFmtId="14" xfId="0" applyAlignment="1" applyBorder="1" applyFont="1" applyNumberFormat="1">
      <alignment horizontal="center" shrinkToFit="0" vertical="center" wrapText="1"/>
    </xf>
    <xf borderId="9" fillId="0" fontId="17" numFmtId="164" xfId="0" applyAlignment="1" applyBorder="1" applyFont="1" applyNumberFormat="1">
      <alignment horizontal="center" shrinkToFit="0" vertical="center" wrapText="1"/>
    </xf>
    <xf borderId="9" fillId="0" fontId="17" numFmtId="0" xfId="0" applyAlignment="1" applyBorder="1" applyFont="1">
      <alignment horizontal="left" shrinkToFit="0" vertical="center" wrapText="1"/>
    </xf>
    <xf borderId="9" fillId="0" fontId="17" numFmtId="2" xfId="0" applyAlignment="1" applyBorder="1" applyFont="1" applyNumberFormat="1">
      <alignment horizontal="center" shrinkToFit="0" vertical="center" wrapText="1"/>
    </xf>
    <xf borderId="9" fillId="0" fontId="7" numFmtId="0" xfId="0" applyAlignment="1" applyBorder="1" applyFont="1">
      <alignment horizontal="center" vertical="center"/>
    </xf>
    <xf borderId="9" fillId="6" fontId="7" numFmtId="0" xfId="0" applyAlignment="1" applyBorder="1" applyFont="1">
      <alignment horizontal="center" shrinkToFit="0" vertical="center" wrapText="1"/>
    </xf>
    <xf borderId="9" fillId="5" fontId="7" numFmtId="0" xfId="0" applyAlignment="1" applyBorder="1" applyFont="1">
      <alignment horizontal="center" shrinkToFit="0" vertical="center" wrapText="1"/>
    </xf>
    <xf borderId="0" fillId="0" fontId="7" numFmtId="0" xfId="0" applyFont="1"/>
    <xf borderId="9" fillId="5" fontId="17" numFmtId="0" xfId="0" applyBorder="1" applyFont="1"/>
    <xf borderId="9" fillId="2" fontId="17" numFmtId="0" xfId="0" applyAlignment="1" applyBorder="1" applyFont="1">
      <alignment horizontal="left" shrinkToFit="0" wrapText="1"/>
    </xf>
    <xf borderId="9" fillId="6" fontId="17" numFmtId="0" xfId="0" applyAlignment="1" applyBorder="1" applyFont="1">
      <alignment horizontal="center"/>
    </xf>
    <xf borderId="9" fillId="2" fontId="17" numFmtId="0" xfId="0" applyAlignment="1" applyBorder="1" applyFont="1">
      <alignment horizontal="center"/>
    </xf>
    <xf borderId="9" fillId="2" fontId="7" numFmtId="0" xfId="0" applyAlignment="1" applyBorder="1" applyFont="1">
      <alignment horizontal="left" shrinkToFit="0" vertical="center" wrapText="1"/>
    </xf>
    <xf borderId="9" fillId="2" fontId="7" numFmtId="0" xfId="0" applyBorder="1" applyFont="1"/>
    <xf borderId="9" fillId="2" fontId="7" numFmtId="0" xfId="0" applyAlignment="1" applyBorder="1" applyFont="1">
      <alignment horizontal="center"/>
    </xf>
    <xf borderId="9" fillId="2" fontId="17" numFmtId="0" xfId="0" applyAlignment="1" applyBorder="1" applyFont="1">
      <alignment horizontal="left" readingOrder="0" shrinkToFit="0" wrapText="1"/>
    </xf>
    <xf borderId="9" fillId="2" fontId="31" numFmtId="0" xfId="0" applyAlignment="1" applyBorder="1" applyFont="1">
      <alignment horizontal="left" shrinkToFit="0" wrapText="1"/>
    </xf>
    <xf borderId="9" fillId="2" fontId="7" numFmtId="165" xfId="0" applyAlignment="1" applyBorder="1" applyFont="1" applyNumberFormat="1">
      <alignment horizontal="center" readingOrder="1" shrinkToFit="0" vertical="top" wrapText="1"/>
    </xf>
    <xf borderId="12" fillId="2" fontId="7" numFmtId="165" xfId="0" applyAlignment="1" applyBorder="1" applyFont="1" applyNumberFormat="1">
      <alignment horizontal="center" readingOrder="1" shrinkToFit="0" vertical="top" wrapText="1"/>
    </xf>
    <xf borderId="9" fillId="2" fontId="32" numFmtId="0" xfId="0" applyAlignment="1" applyBorder="1" applyFont="1">
      <alignment horizontal="left" vertical="center"/>
    </xf>
    <xf borderId="9" fillId="2" fontId="17" numFmtId="165" xfId="0" applyAlignment="1" applyBorder="1" applyFont="1" applyNumberFormat="1">
      <alignment horizontal="center" shrinkToFit="0" vertical="top" wrapText="1"/>
    </xf>
    <xf borderId="24" fillId="2" fontId="17" numFmtId="165" xfId="0" applyAlignment="1" applyBorder="1" applyFont="1" applyNumberFormat="1">
      <alignment horizontal="center" shrinkToFit="0" vertical="top" wrapText="1"/>
    </xf>
    <xf borderId="9" fillId="0" fontId="7" numFmtId="0" xfId="0" applyAlignment="1" applyBorder="1" applyFont="1">
      <alignment horizontal="left" vertical="center"/>
    </xf>
    <xf borderId="9" fillId="0" fontId="33" numFmtId="0" xfId="0" applyAlignment="1" applyBorder="1" applyFont="1">
      <alignment horizontal="left"/>
    </xf>
    <xf borderId="12" fillId="0" fontId="7" numFmtId="0" xfId="0" applyAlignment="1" applyBorder="1" applyFont="1">
      <alignment horizontal="center"/>
    </xf>
    <xf borderId="12" fillId="5" fontId="7" numFmtId="0" xfId="0" applyAlignment="1" applyBorder="1" applyFont="1">
      <alignment horizontal="center"/>
    </xf>
    <xf borderId="12" fillId="0" fontId="7" numFmtId="0" xfId="0" applyAlignment="1" applyBorder="1" applyFont="1">
      <alignment horizontal="left" vertical="center"/>
    </xf>
    <xf borderId="12" fillId="0" fontId="34" numFmtId="0" xfId="0" applyAlignment="1" applyBorder="1" applyFont="1">
      <alignment horizontal="left"/>
    </xf>
    <xf borderId="12" fillId="6" fontId="7" numFmtId="0" xfId="0" applyAlignment="1" applyBorder="1" applyFont="1">
      <alignment horizontal="center"/>
    </xf>
    <xf borderId="9" fillId="5" fontId="24" numFmtId="0" xfId="0" applyAlignment="1" applyBorder="1" applyFont="1">
      <alignment horizontal="center"/>
    </xf>
    <xf borderId="12" fillId="0" fontId="17" numFmtId="0" xfId="0" applyBorder="1" applyFont="1"/>
    <xf borderId="12" fillId="0" fontId="35" numFmtId="0" xfId="0" applyBorder="1" applyFont="1"/>
    <xf borderId="12" fillId="6" fontId="24" numFmtId="0" xfId="0" applyAlignment="1" applyBorder="1" applyFont="1">
      <alignment horizontal="center" shrinkToFit="0" wrapText="1"/>
    </xf>
    <xf borderId="15" fillId="5" fontId="7" numFmtId="0" xfId="0" applyAlignment="1" applyBorder="1" applyFont="1">
      <alignment horizontal="center"/>
    </xf>
    <xf borderId="15" fillId="2" fontId="36" numFmtId="0" xfId="0" applyAlignment="1" applyBorder="1" applyFont="1">
      <alignment horizontal="left"/>
    </xf>
    <xf borderId="0" fillId="5" fontId="7" numFmtId="0" xfId="0" applyAlignment="1" applyFont="1">
      <alignment horizontal="center"/>
    </xf>
    <xf borderId="9" fillId="5" fontId="37" numFmtId="0" xfId="0" applyAlignment="1" applyBorder="1" applyFont="1">
      <alignment horizontal="right"/>
    </xf>
    <xf borderId="9" fillId="0" fontId="37" numFmtId="0" xfId="0" applyAlignment="1" applyBorder="1" applyFont="1">
      <alignment horizontal="left"/>
    </xf>
    <xf borderId="9" fillId="5" fontId="37" numFmtId="0" xfId="0" applyAlignment="1" applyBorder="1" applyFont="1">
      <alignment horizontal="left"/>
    </xf>
    <xf borderId="9" fillId="0" fontId="7" numFmtId="0" xfId="0" applyAlignment="1" applyBorder="1" applyFont="1">
      <alignment horizontal="left"/>
    </xf>
    <xf borderId="9" fillId="2" fontId="38" numFmtId="0" xfId="0" applyAlignment="1" applyBorder="1" applyFont="1">
      <alignment horizontal="center"/>
    </xf>
    <xf borderId="9" fillId="7" fontId="17" numFmtId="0" xfId="0" applyAlignment="1" applyBorder="1" applyFont="1">
      <alignment horizontal="left" shrinkToFit="0" vertical="center" wrapText="1"/>
    </xf>
    <xf borderId="9" fillId="7" fontId="39" numFmtId="0" xfId="0" applyAlignment="1" applyBorder="1" applyFont="1">
      <alignment horizontal="left" shrinkToFit="0" vertical="center" wrapText="1"/>
    </xf>
    <xf borderId="9" fillId="6" fontId="7" numFmtId="0" xfId="0" applyAlignment="1" applyBorder="1" applyFont="1">
      <alignment horizontal="center" shrinkToFit="0" wrapText="1"/>
    </xf>
    <xf borderId="9" fillId="0" fontId="17" numFmtId="0" xfId="0" applyBorder="1" applyFont="1"/>
    <xf borderId="9" fillId="6" fontId="17" numFmtId="164" xfId="0" applyAlignment="1" applyBorder="1" applyFont="1" applyNumberFormat="1">
      <alignment horizontal="center" shrinkToFit="0" vertical="center" wrapText="1"/>
    </xf>
    <xf borderId="9" fillId="0" fontId="17" numFmtId="0" xfId="0" applyAlignment="1" applyBorder="1" applyFont="1">
      <alignment horizontal="center"/>
    </xf>
    <xf borderId="9" fillId="6" fontId="7" numFmtId="0" xfId="0" applyAlignment="1" applyBorder="1" applyFont="1">
      <alignment horizontal="left"/>
    </xf>
    <xf borderId="9" fillId="0" fontId="7" numFmtId="0" xfId="0" applyBorder="1" applyFont="1"/>
    <xf borderId="9" fillId="5" fontId="19" numFmtId="0" xfId="0" applyAlignment="1" applyBorder="1" applyFont="1">
      <alignment horizontal="center"/>
    </xf>
    <xf borderId="9" fillId="0" fontId="40" numFmtId="0" xfId="0" applyBorder="1" applyFont="1"/>
    <xf borderId="9" fillId="6" fontId="17" numFmtId="0" xfId="0" applyAlignment="1" applyBorder="1" applyFont="1">
      <alignment horizontal="center" shrinkToFit="0" wrapText="1"/>
    </xf>
    <xf borderId="9" fillId="0" fontId="18" numFmtId="0" xfId="0" applyAlignment="1" applyBorder="1" applyFont="1">
      <alignment horizontal="left"/>
    </xf>
    <xf borderId="9" fillId="0" fontId="17" numFmtId="0" xfId="0" applyAlignment="1" applyBorder="1" applyFont="1">
      <alignment shrinkToFit="0" wrapText="1"/>
    </xf>
    <xf borderId="9" fillId="0" fontId="41" numFmtId="0" xfId="0" applyAlignment="1" applyBorder="1" applyFont="1">
      <alignment shrinkToFit="0" wrapText="1"/>
    </xf>
    <xf borderId="0" fillId="0" fontId="21" numFmtId="0" xfId="0" applyAlignment="1" applyFont="1">
      <alignment horizontal="right"/>
    </xf>
    <xf borderId="0" fillId="0" fontId="21" numFmtId="0" xfId="0" applyAlignment="1" applyFont="1">
      <alignment horizontal="left"/>
    </xf>
    <xf borderId="0" fillId="0" fontId="21" numFmtId="0" xfId="0" applyAlignment="1" applyFont="1">
      <alignment horizontal="center"/>
    </xf>
    <xf borderId="25" fillId="5" fontId="17" numFmtId="0" xfId="0" applyAlignment="1" applyBorder="1" applyFont="1">
      <alignment horizontal="center"/>
    </xf>
    <xf borderId="25" fillId="2" fontId="17" numFmtId="0" xfId="0" applyAlignment="1" applyBorder="1" applyFont="1">
      <alignment horizontal="left" shrinkToFit="0" wrapText="1"/>
    </xf>
    <xf borderId="26" fillId="3" fontId="4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left"/>
    </xf>
    <xf borderId="12" fillId="0" fontId="42" numFmtId="0" xfId="0" applyAlignment="1" applyBorder="1" applyFont="1">
      <alignment horizontal="left"/>
    </xf>
    <xf borderId="12" fillId="5" fontId="17" numFmtId="0" xfId="0" applyAlignment="1" applyBorder="1" applyFont="1">
      <alignment horizontal="center"/>
    </xf>
    <xf borderId="12" fillId="5" fontId="17" numFmtId="166" xfId="0" applyAlignment="1" applyBorder="1" applyFont="1" applyNumberFormat="1">
      <alignment horizontal="center"/>
    </xf>
    <xf borderId="12" fillId="5" fontId="18" numFmtId="0" xfId="0" applyAlignment="1" applyBorder="1" applyFont="1">
      <alignment horizontal="center"/>
    </xf>
    <xf borderId="9" fillId="5" fontId="17" numFmtId="166" xfId="0" applyAlignment="1" applyBorder="1" applyFont="1" applyNumberFormat="1">
      <alignment horizontal="center"/>
    </xf>
    <xf borderId="25" fillId="5" fontId="43" numFmtId="0" xfId="0" applyAlignment="1" applyBorder="1" applyFont="1">
      <alignment horizontal="center" vertical="top"/>
    </xf>
    <xf borderId="9" fillId="5" fontId="17" numFmtId="0" xfId="0" applyAlignment="1" applyBorder="1" applyFont="1">
      <alignment horizontal="center" shrinkToFit="0" wrapText="1"/>
    </xf>
    <xf borderId="9" fillId="5" fontId="18" numFmtId="0" xfId="0" applyAlignment="1" applyBorder="1" applyFont="1">
      <alignment horizontal="center" shrinkToFit="0" wrapText="1"/>
    </xf>
    <xf borderId="9" fillId="6" fontId="17" numFmtId="0" xfId="0" applyAlignment="1" applyBorder="1" applyFont="1">
      <alignment horizontal="center" vertical="center"/>
    </xf>
    <xf borderId="25" fillId="5" fontId="17" numFmtId="0" xfId="0" applyAlignment="1" applyBorder="1" applyFont="1">
      <alignment horizontal="center" shrinkToFit="0" vertical="top" wrapText="1"/>
    </xf>
    <xf borderId="25" fillId="5" fontId="17" numFmtId="166" xfId="0" applyAlignment="1" applyBorder="1" applyFont="1" applyNumberFormat="1">
      <alignment horizontal="center"/>
    </xf>
    <xf borderId="9" fillId="5" fontId="43" numFmtId="0" xfId="0" applyAlignment="1" applyBorder="1" applyFont="1">
      <alignment horizontal="center" vertical="top"/>
    </xf>
    <xf borderId="9" fillId="5" fontId="44" numFmtId="0" xfId="0" applyAlignment="1" applyBorder="1" applyFont="1">
      <alignment horizontal="center" vertical="top"/>
    </xf>
    <xf borderId="9" fillId="2" fontId="24" numFmtId="0" xfId="0" applyAlignment="1" applyBorder="1" applyFont="1">
      <alignment vertical="bottom"/>
    </xf>
    <xf borderId="25" fillId="5" fontId="24" numFmtId="0" xfId="0" applyAlignment="1" applyBorder="1" applyFont="1">
      <alignment horizontal="center" vertical="bottom"/>
    </xf>
    <xf borderId="9" fillId="5" fontId="45" numFmtId="3" xfId="0" applyAlignment="1" applyBorder="1" applyFont="1" applyNumberFormat="1">
      <alignment horizontal="center" shrinkToFit="0" vertical="bottom" wrapText="1"/>
    </xf>
    <xf borderId="25" fillId="5" fontId="9" numFmtId="3" xfId="0" applyAlignment="1" applyBorder="1" applyFont="1" applyNumberFormat="1">
      <alignment horizontal="center" vertical="center"/>
    </xf>
    <xf borderId="25" fillId="5" fontId="18" numFmtId="0" xfId="0" applyAlignment="1" applyBorder="1" applyFont="1">
      <alignment horizontal="center"/>
    </xf>
    <xf borderId="25" fillId="5" fontId="9" numFmtId="0" xfId="0" applyAlignment="1" applyBorder="1" applyFont="1">
      <alignment horizontal="center"/>
    </xf>
    <xf borderId="25" fillId="5" fontId="18" numFmtId="0" xfId="0" applyAlignment="1" applyBorder="1" applyFont="1">
      <alignment horizontal="center" shrinkToFit="0" wrapText="1"/>
    </xf>
    <xf borderId="15" fillId="2" fontId="2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1123950" cy="80962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133350</xdr:rowOff>
    </xdr:from>
    <xdr:ext cx="1114425" cy="81915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57150</xdr:rowOff>
    </xdr:from>
    <xdr:ext cx="1076325" cy="77152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0</xdr:colOff>
      <xdr:row>260</xdr:row>
      <xdr:rowOff>76200</xdr:rowOff>
    </xdr:from>
    <xdr:ext cx="6810375" cy="4705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95250</xdr:rowOff>
    </xdr:from>
    <xdr:ext cx="1171575" cy="895350"/>
    <xdr:pic>
      <xdr:nvPicPr>
        <xdr:cNvPr id="0" name="image1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1</xdr:row>
      <xdr:rowOff>104775</xdr:rowOff>
    </xdr:from>
    <xdr:ext cx="981075" cy="74295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</xdr:row>
      <xdr:rowOff>76200</xdr:rowOff>
    </xdr:from>
    <xdr:ext cx="1133475" cy="75247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57150</xdr:rowOff>
    </xdr:from>
    <xdr:ext cx="1171575" cy="78105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</xdr:row>
      <xdr:rowOff>123825</xdr:rowOff>
    </xdr:from>
    <xdr:ext cx="1076325" cy="69532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ra-matina.ru/?vendor_code=art_714_a" TargetMode="External"/><Relationship Id="rId10" Type="http://schemas.openxmlformats.org/officeDocument/2006/relationships/hyperlink" Target="https://ra-matina.ru/?vendor_code=KRD178B1GGAB" TargetMode="External"/><Relationship Id="rId13" Type="http://schemas.openxmlformats.org/officeDocument/2006/relationships/hyperlink" Target="https://ra-matina.ru/?vendor_code=pa_463" TargetMode="External"/><Relationship Id="rId12" Type="http://schemas.openxmlformats.org/officeDocument/2006/relationships/hyperlink" Target="https://ra-matina.ru/?vendor_code=KDR_PR_ART233" TargetMode="External"/><Relationship Id="rId1" Type="http://schemas.openxmlformats.org/officeDocument/2006/relationships/hyperlink" Target="https://ra-matina.ru/?vendor_code=pa_345b" TargetMode="External"/><Relationship Id="rId2" Type="http://schemas.openxmlformats.org/officeDocument/2006/relationships/hyperlink" Target="https://ra-matina.ru/?vendor_code=pa_345" TargetMode="External"/><Relationship Id="rId3" Type="http://schemas.openxmlformats.org/officeDocument/2006/relationships/hyperlink" Target="https://ra-matina.ru/?vendor_code=pa_442" TargetMode="External"/><Relationship Id="rId4" Type="http://schemas.openxmlformats.org/officeDocument/2006/relationships/hyperlink" Target="https://ra-matina.ru/?vendor_code=KRDVSTK072" TargetMode="External"/><Relationship Id="rId9" Type="http://schemas.openxmlformats.org/officeDocument/2006/relationships/hyperlink" Target="https://ra-matina.ru/?vendor_code=KrbilN0200" TargetMode="External"/><Relationship Id="rId15" Type="http://schemas.openxmlformats.org/officeDocument/2006/relationships/hyperlink" Target="https://ra-matina.ru/?vendor_code=pa_039" TargetMode="External"/><Relationship Id="rId14" Type="http://schemas.openxmlformats.org/officeDocument/2006/relationships/hyperlink" Target="https://ra-matina.ru/?vendor_code=pa_334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ra-matina.ru/?vendor_code=UM_033" TargetMode="External"/><Relationship Id="rId5" Type="http://schemas.openxmlformats.org/officeDocument/2006/relationships/hyperlink" Target="https://ra-matina.ru/?vendor_code=art_275" TargetMode="External"/><Relationship Id="rId6" Type="http://schemas.openxmlformats.org/officeDocument/2006/relationships/hyperlink" Target="https://ra-matina.ru/?vendor_code=pa_138" TargetMode="External"/><Relationship Id="rId7" Type="http://schemas.openxmlformats.org/officeDocument/2006/relationships/hyperlink" Target="https://ra-matina.ru/?vendor_code=art_698" TargetMode="External"/><Relationship Id="rId8" Type="http://schemas.openxmlformats.org/officeDocument/2006/relationships/hyperlink" Target="https://ra-matina.ru/?vendor_code=art_634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0" Type="http://schemas.openxmlformats.org/officeDocument/2006/relationships/drawing" Target="../drawings/drawing3.xml"/><Relationship Id="rId1" Type="http://schemas.openxmlformats.org/officeDocument/2006/relationships/hyperlink" Target="https://ra-matina.ru/?vendor_code=art_112" TargetMode="External"/><Relationship Id="rId2" Type="http://schemas.openxmlformats.org/officeDocument/2006/relationships/hyperlink" Target="https://ra-matina.ru/?vendor_code=art_59b" TargetMode="External"/><Relationship Id="rId3" Type="http://schemas.openxmlformats.org/officeDocument/2006/relationships/hyperlink" Target="https://ra-matina.ru/?vendor_code=art_111" TargetMode="External"/><Relationship Id="rId4" Type="http://schemas.openxmlformats.org/officeDocument/2006/relationships/hyperlink" Target="https://ra-matina.ru/?vendor_code=art_604" TargetMode="External"/><Relationship Id="rId9" Type="http://schemas.openxmlformats.org/officeDocument/2006/relationships/hyperlink" Target="https://ra-matina.ru/?vendor_code=art_612" TargetMode="External"/><Relationship Id="rId5" Type="http://schemas.openxmlformats.org/officeDocument/2006/relationships/hyperlink" Target="https://ra-matina.ru/?vendor_code=KrsupN001B1" TargetMode="External"/><Relationship Id="rId6" Type="http://schemas.openxmlformats.org/officeDocument/2006/relationships/hyperlink" Target="https://ra-matina.ru/?vendor_code=KRSS300" TargetMode="External"/><Relationship Id="rId7" Type="http://schemas.openxmlformats.org/officeDocument/2006/relationships/hyperlink" Target="https://ra-matina.ru/?vendor_code=Krsuvlen001" TargetMode="External"/><Relationship Id="rId8" Type="http://schemas.openxmlformats.org/officeDocument/2006/relationships/hyperlink" Target="https://ra-matina.ru/?vendor_code=art_611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ra-matina.ru/?vendor_code=ad_nab001" TargetMode="External"/><Relationship Id="rId2" Type="http://schemas.openxmlformats.org/officeDocument/2006/relationships/hyperlink" Target="https://ra-matina.ru/?vendor_code=bochkr001" TargetMode="External"/><Relationship Id="rId3" Type="http://schemas.openxmlformats.org/officeDocument/2006/relationships/hyperlink" Target="https://ra-matina.ru/?vendor_code=dz_dj01" TargetMode="External"/><Relationship Id="rId4" Type="http://schemas.openxmlformats.org/officeDocument/2006/relationships/hyperlink" Target="https://ra-matina.ru/?vendor_code=kngkr001" TargetMode="External"/><Relationship Id="rId5" Type="http://schemas.openxmlformats.org/officeDocument/2006/relationships/hyperlink" Target="https://ra-matina.ru/?vendor_code=kngkr002" TargetMode="External"/><Relationship Id="rId6" Type="http://schemas.openxmlformats.org/officeDocument/2006/relationships/hyperlink" Target="https://ra-matina.ru/?vendor_code=KRkrsn154" TargetMode="External"/><Relationship Id="rId7" Type="http://schemas.openxmlformats.org/officeDocument/2006/relationships/hyperlink" Target="https://ra-matina.ru/?vendor_code=ur_dj01" TargetMode="External"/><Relationship Id="rId8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 fitToPage="1"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98.57"/>
    <col customWidth="1" min="3" max="3" width="43.14"/>
    <col customWidth="1" min="4" max="4" width="8.14"/>
    <col customWidth="1" min="5" max="5" width="16.43"/>
    <col customWidth="1" min="6" max="6" width="12.43"/>
    <col customWidth="1" min="7" max="7" width="9.86"/>
    <col customWidth="1" min="8" max="8" width="9.14"/>
    <col customWidth="1" min="9" max="24" width="8.86"/>
  </cols>
  <sheetData>
    <row r="1" ht="13.5" customHeight="1">
      <c r="A1" s="1"/>
      <c r="B1" s="2" t="s">
        <v>0</v>
      </c>
      <c r="C1" s="3"/>
      <c r="D1" s="3"/>
      <c r="E1" s="3"/>
      <c r="F1" s="3"/>
      <c r="G1" s="4"/>
    </row>
    <row r="2" ht="13.5" customHeight="1">
      <c r="A2" s="5"/>
      <c r="B2" s="6"/>
      <c r="C2" s="7"/>
      <c r="D2" s="7"/>
      <c r="E2" s="7"/>
      <c r="F2" s="7"/>
      <c r="G2" s="7"/>
    </row>
    <row r="3" ht="84.0" customHeight="1">
      <c r="A3" s="8"/>
      <c r="B3" s="6" t="s">
        <v>1</v>
      </c>
      <c r="C3" s="7"/>
      <c r="D3" s="7"/>
      <c r="E3" s="7"/>
      <c r="F3" s="7"/>
      <c r="G3" s="7"/>
    </row>
    <row r="4" ht="13.5" customHeight="1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ht="21.0" customHeight="1">
      <c r="A5" s="11" t="s">
        <v>9</v>
      </c>
      <c r="B5" s="12"/>
      <c r="C5" s="12"/>
      <c r="D5" s="12"/>
      <c r="E5" s="12"/>
      <c r="F5" s="12"/>
      <c r="G5" s="13"/>
    </row>
    <row r="6" ht="14.25" customHeight="1">
      <c r="A6" s="14" t="s">
        <v>10</v>
      </c>
    </row>
    <row r="7" ht="13.5" customHeight="1">
      <c r="A7" s="15" t="s">
        <v>11</v>
      </c>
      <c r="B7" s="16" t="s">
        <v>12</v>
      </c>
      <c r="C7" s="17" t="str">
        <f>HYPERLINK("https://ra-matina.ru/?vendor_code=UM_147")</f>
        <v>https://ra-matina.ru/?vendor_code=UM_147</v>
      </c>
      <c r="D7" s="18" t="s">
        <v>13</v>
      </c>
      <c r="E7" s="19" t="s">
        <v>14</v>
      </c>
      <c r="F7" s="18" t="s">
        <v>15</v>
      </c>
      <c r="G7" s="20" t="s">
        <v>16</v>
      </c>
    </row>
    <row r="8" ht="13.5" customHeight="1">
      <c r="A8" s="15" t="s">
        <v>17</v>
      </c>
      <c r="B8" s="16" t="s">
        <v>12</v>
      </c>
      <c r="C8" s="17" t="str">
        <f>HYPERLINK("https://ra-matina.ru/?vendor_code=KrbilN004А3")</f>
        <v>https://ra-matina.ru/?vendor_code=KrbilN004А3</v>
      </c>
      <c r="D8" s="15" t="s">
        <v>18</v>
      </c>
      <c r="E8" s="19" t="s">
        <v>14</v>
      </c>
      <c r="F8" s="15" t="s">
        <v>15</v>
      </c>
      <c r="G8" s="21">
        <v>32500.0</v>
      </c>
    </row>
    <row r="9" ht="13.5" customHeight="1">
      <c r="A9" s="15" t="s">
        <v>19</v>
      </c>
      <c r="B9" s="16" t="s">
        <v>20</v>
      </c>
      <c r="C9" s="17" t="str">
        <f>HYPERLINK("https://ra-matina.ru/?vendor_code=UM_152")</f>
        <v>https://ra-matina.ru/?vendor_code=UM_152</v>
      </c>
      <c r="D9" s="18" t="s">
        <v>21</v>
      </c>
      <c r="E9" s="22" t="s">
        <v>22</v>
      </c>
      <c r="F9" s="18" t="s">
        <v>15</v>
      </c>
      <c r="G9" s="20" t="s">
        <v>23</v>
      </c>
    </row>
    <row r="10" ht="13.5" customHeight="1">
      <c r="A10" s="15" t="s">
        <v>24</v>
      </c>
      <c r="B10" s="16" t="s">
        <v>25</v>
      </c>
      <c r="C10" s="17" t="str">
        <f>HYPERLINK("https://ra-matina.ru/?vendor_code=UM_143")</f>
        <v>https://ra-matina.ru/?vendor_code=UM_143</v>
      </c>
      <c r="D10" s="18" t="s">
        <v>21</v>
      </c>
      <c r="E10" s="22" t="s">
        <v>22</v>
      </c>
      <c r="F10" s="18" t="s">
        <v>15</v>
      </c>
      <c r="G10" s="20" t="s">
        <v>23</v>
      </c>
    </row>
    <row r="11" ht="13.5" customHeight="1">
      <c r="A11" s="15" t="s">
        <v>26</v>
      </c>
      <c r="B11" s="16" t="s">
        <v>27</v>
      </c>
      <c r="C11" s="17" t="str">
        <f>HYPERLINK("https://ra-matina.ru/?vendor_code=KrbilN011А")</f>
        <v>https://ra-matina.ru/?vendor_code=KrbilN011А</v>
      </c>
      <c r="D11" s="15" t="s">
        <v>28</v>
      </c>
      <c r="E11" s="19" t="s">
        <v>22</v>
      </c>
      <c r="F11" s="15" t="s">
        <v>15</v>
      </c>
      <c r="G11" s="21">
        <v>32500.0</v>
      </c>
    </row>
    <row r="12" ht="13.5" customHeight="1">
      <c r="A12" s="15" t="s">
        <v>29</v>
      </c>
      <c r="B12" s="16" t="s">
        <v>30</v>
      </c>
      <c r="C12" s="17" t="str">
        <f>HYPERLINK("https://ra-matina.ru/?vendor_code=UM_171")</f>
        <v>https://ra-matina.ru/?vendor_code=UM_171</v>
      </c>
      <c r="D12" s="18" t="s">
        <v>31</v>
      </c>
      <c r="E12" s="19" t="s">
        <v>14</v>
      </c>
      <c r="F12" s="18" t="s">
        <v>15</v>
      </c>
      <c r="G12" s="20" t="s">
        <v>32</v>
      </c>
    </row>
    <row r="13" ht="13.5" customHeight="1">
      <c r="A13" s="15" t="s">
        <v>33</v>
      </c>
      <c r="B13" s="16" t="s">
        <v>34</v>
      </c>
      <c r="C13" s="17" t="str">
        <f>HYPERLINK("https://ra-matina.ru/?vendor_code=KrbilN012Б3")</f>
        <v>https://ra-matina.ru/?vendor_code=KrbilN012Б3</v>
      </c>
      <c r="D13" s="15" t="s">
        <v>35</v>
      </c>
      <c r="E13" s="19" t="s">
        <v>14</v>
      </c>
      <c r="F13" s="15" t="s">
        <v>15</v>
      </c>
      <c r="G13" s="21">
        <v>32500.0</v>
      </c>
    </row>
    <row r="14" ht="13.5" customHeight="1">
      <c r="A14" s="15" t="s">
        <v>36</v>
      </c>
      <c r="B14" s="16" t="s">
        <v>37</v>
      </c>
      <c r="C14" s="17" t="str">
        <f>HYPERLINK("https://ra-matina.ru/?vendor_code=KrbilN010А3")</f>
        <v>https://ra-matina.ru/?vendor_code=KrbilN010А3</v>
      </c>
      <c r="D14" s="15" t="s">
        <v>18</v>
      </c>
      <c r="E14" s="19" t="s">
        <v>14</v>
      </c>
      <c r="F14" s="15" t="s">
        <v>15</v>
      </c>
      <c r="G14" s="21">
        <v>32500.0</v>
      </c>
    </row>
    <row r="15" ht="13.5" customHeight="1">
      <c r="A15" s="15" t="s">
        <v>38</v>
      </c>
      <c r="B15" s="16" t="s">
        <v>39</v>
      </c>
      <c r="C15" s="17" t="str">
        <f>HYPERLINK("https://ra-matina.ru/?vendor_code=KrbilN013А")</f>
        <v>https://ra-matina.ru/?vendor_code=KrbilN013А</v>
      </c>
      <c r="D15" s="15" t="s">
        <v>28</v>
      </c>
      <c r="E15" s="19" t="s">
        <v>22</v>
      </c>
      <c r="F15" s="15" t="s">
        <v>40</v>
      </c>
      <c r="G15" s="21">
        <v>32000.0</v>
      </c>
    </row>
    <row r="16" ht="13.5" customHeight="1">
      <c r="A16" s="15" t="s">
        <v>41</v>
      </c>
      <c r="B16" s="16" t="s">
        <v>42</v>
      </c>
      <c r="C16" s="17" t="str">
        <f>HYPERLINK("https://ra-matina.ru/?vendor_code=KrbilN005А1")</f>
        <v>https://ra-matina.ru/?vendor_code=KrbilN005А1</v>
      </c>
      <c r="D16" s="15" t="s">
        <v>43</v>
      </c>
      <c r="E16" s="19" t="s">
        <v>22</v>
      </c>
      <c r="F16" s="15" t="s">
        <v>40</v>
      </c>
      <c r="G16" s="21">
        <v>34000.0</v>
      </c>
    </row>
    <row r="17" ht="13.5" customHeight="1">
      <c r="A17" s="15" t="s">
        <v>44</v>
      </c>
      <c r="B17" s="16" t="s">
        <v>42</v>
      </c>
      <c r="C17" s="17" t="str">
        <f>HYPERLINK("https://ra-matina.ru/?vendor_code=KrbilN006А2")</f>
        <v>https://ra-matina.ru/?vendor_code=KrbilN006А2</v>
      </c>
      <c r="D17" s="15" t="s">
        <v>13</v>
      </c>
      <c r="E17" s="19" t="s">
        <v>22</v>
      </c>
      <c r="F17" s="15" t="s">
        <v>40</v>
      </c>
      <c r="G17" s="21">
        <v>34000.0</v>
      </c>
    </row>
    <row r="18" ht="13.5" customHeight="1">
      <c r="A18" s="15" t="s">
        <v>45</v>
      </c>
      <c r="B18" s="16" t="s">
        <v>46</v>
      </c>
      <c r="C18" s="17" t="str">
        <f>HYPERLINK("https://ra-matina.ru/?vendor_code=KrbilN001Б")</f>
        <v>https://ra-matina.ru/?vendor_code=KrbilN001Б</v>
      </c>
      <c r="D18" s="15" t="s">
        <v>28</v>
      </c>
      <c r="E18" s="19" t="s">
        <v>22</v>
      </c>
      <c r="F18" s="15" t="s">
        <v>40</v>
      </c>
      <c r="G18" s="21">
        <v>34000.0</v>
      </c>
    </row>
    <row r="19" ht="13.5" customHeight="1">
      <c r="A19" s="15" t="s">
        <v>47</v>
      </c>
      <c r="B19" s="16" t="s">
        <v>48</v>
      </c>
      <c r="C19" s="17" t="str">
        <f>HYPERLINK("https://ra-matina.ru/?vendor_code=KrbilN002Б")</f>
        <v>https://ra-matina.ru/?vendor_code=KrbilN002Б</v>
      </c>
      <c r="D19" s="15" t="s">
        <v>21</v>
      </c>
      <c r="E19" s="19" t="s">
        <v>22</v>
      </c>
      <c r="F19" s="15" t="s">
        <v>15</v>
      </c>
      <c r="G19" s="21">
        <v>29500.0</v>
      </c>
    </row>
    <row r="20" ht="13.5" customHeight="1">
      <c r="A20" s="15" t="s">
        <v>49</v>
      </c>
      <c r="B20" s="16" t="s">
        <v>50</v>
      </c>
      <c r="C20" s="17" t="str">
        <f>HYPERLINK("https://ra-matina.ru/?vendor_code=KrbilN001А")</f>
        <v>https://ra-matina.ru/?vendor_code=KrbilN001А</v>
      </c>
      <c r="D20" s="15" t="s">
        <v>28</v>
      </c>
      <c r="E20" s="19" t="s">
        <v>22</v>
      </c>
      <c r="F20" s="15" t="s">
        <v>15</v>
      </c>
      <c r="G20" s="21">
        <v>31200.0</v>
      </c>
    </row>
    <row r="21" ht="13.5" customHeight="1">
      <c r="A21" s="15" t="s">
        <v>51</v>
      </c>
      <c r="B21" s="16" t="s">
        <v>52</v>
      </c>
      <c r="C21" s="17" t="str">
        <f>HYPERLINK("https://ra-matina.ru/?vendor_code=KrbilN009А1")</f>
        <v>https://ra-matina.ru/?vendor_code=KrbilN009А1</v>
      </c>
      <c r="D21" s="15" t="s">
        <v>28</v>
      </c>
      <c r="E21" s="19" t="s">
        <v>22</v>
      </c>
      <c r="F21" s="15" t="s">
        <v>15</v>
      </c>
      <c r="G21" s="21">
        <v>40100.0</v>
      </c>
    </row>
    <row r="22" ht="13.5" customHeight="1">
      <c r="A22" s="15" t="s">
        <v>53</v>
      </c>
      <c r="B22" s="16" t="s">
        <v>52</v>
      </c>
      <c r="C22" s="17" t="str">
        <f>HYPERLINK("https://ra-matina.ru/?vendor_code=KrbilN009Б")</f>
        <v>https://ra-matina.ru/?vendor_code=KrbilN009Б</v>
      </c>
      <c r="D22" s="15" t="s">
        <v>21</v>
      </c>
      <c r="E22" s="19" t="s">
        <v>22</v>
      </c>
      <c r="F22" s="15" t="s">
        <v>15</v>
      </c>
      <c r="G22" s="21">
        <v>37400.0</v>
      </c>
    </row>
    <row r="23" ht="13.5" customHeight="1">
      <c r="A23" s="15" t="s">
        <v>54</v>
      </c>
      <c r="B23" s="16" t="s">
        <v>55</v>
      </c>
      <c r="C23" s="17" t="str">
        <f>HYPERLINK("https://ra-matina.ru/?vendor_code=П005")</f>
        <v>https://ra-matina.ru/?vendor_code=П005</v>
      </c>
      <c r="D23" s="23" t="s">
        <v>21</v>
      </c>
      <c r="E23" s="22" t="s">
        <v>22</v>
      </c>
      <c r="F23" s="18" t="s">
        <v>15</v>
      </c>
      <c r="G23" s="20" t="s">
        <v>56</v>
      </c>
    </row>
    <row r="24" ht="13.5" customHeight="1">
      <c r="A24" s="15" t="s">
        <v>57</v>
      </c>
      <c r="B24" s="16" t="s">
        <v>58</v>
      </c>
      <c r="C24" s="17" t="str">
        <f>HYPERLINK("https://ra-matina.ru/?vendor_code=П006")</f>
        <v>https://ra-matina.ru/?vendor_code=П006</v>
      </c>
      <c r="D24" s="23" t="s">
        <v>31</v>
      </c>
      <c r="E24" s="22" t="s">
        <v>22</v>
      </c>
      <c r="F24" s="18" t="s">
        <v>15</v>
      </c>
      <c r="G24" s="20" t="s">
        <v>59</v>
      </c>
    </row>
    <row r="25" ht="13.5" customHeight="1">
      <c r="A25" s="15" t="s">
        <v>60</v>
      </c>
      <c r="B25" s="16" t="s">
        <v>61</v>
      </c>
      <c r="C25" s="17" t="str">
        <f>HYPERLINK("https://ra-matina.ru/?vendor_code=KrbilN005А0")</f>
        <v>https://ra-matina.ru/?vendor_code=KrbilN005А0</v>
      </c>
      <c r="D25" s="15" t="s">
        <v>28</v>
      </c>
      <c r="E25" s="19" t="s">
        <v>22</v>
      </c>
      <c r="F25" s="15" t="s">
        <v>15</v>
      </c>
      <c r="G25" s="21">
        <v>32900.0</v>
      </c>
    </row>
    <row r="26" ht="13.5" customHeight="1">
      <c r="A26" s="15" t="s">
        <v>62</v>
      </c>
      <c r="B26" s="16" t="s">
        <v>63</v>
      </c>
      <c r="C26" s="17" t="str">
        <f>HYPERLINK("https://ra-matina.ru/?vendor_code=П007")</f>
        <v>https://ra-matina.ru/?vendor_code=П007</v>
      </c>
      <c r="D26" s="23" t="s">
        <v>21</v>
      </c>
      <c r="E26" s="22" t="s">
        <v>22</v>
      </c>
      <c r="F26" s="18" t="s">
        <v>15</v>
      </c>
      <c r="G26" s="20" t="s">
        <v>56</v>
      </c>
    </row>
    <row r="27" ht="13.5" customHeight="1">
      <c r="A27" s="15" t="s">
        <v>64</v>
      </c>
      <c r="B27" s="16" t="s">
        <v>65</v>
      </c>
      <c r="C27" s="17" t="str">
        <f>HYPERLINK("https://ra-matina.ru/?vendor_code=П008")</f>
        <v>https://ra-matina.ru/?vendor_code=П008</v>
      </c>
      <c r="D27" s="23" t="s">
        <v>31</v>
      </c>
      <c r="E27" s="22" t="s">
        <v>22</v>
      </c>
      <c r="F27" s="18" t="s">
        <v>15</v>
      </c>
      <c r="G27" s="20" t="s">
        <v>59</v>
      </c>
    </row>
    <row r="28" ht="13.5" customHeight="1">
      <c r="A28" s="15" t="s">
        <v>66</v>
      </c>
      <c r="B28" s="16" t="s">
        <v>67</v>
      </c>
      <c r="C28" s="17" t="str">
        <f>HYPERLINK("https://ra-matina.ru/?vendor_code=KrbilN007А")</f>
        <v>https://ra-matina.ru/?vendor_code=KrbilN007А</v>
      </c>
      <c r="D28" s="15" t="s">
        <v>28</v>
      </c>
      <c r="E28" s="19" t="s">
        <v>22</v>
      </c>
      <c r="F28" s="15" t="s">
        <v>15</v>
      </c>
      <c r="G28" s="21">
        <v>31900.0</v>
      </c>
    </row>
    <row r="29" ht="13.5" customHeight="1">
      <c r="A29" s="15" t="s">
        <v>68</v>
      </c>
      <c r="B29" s="16" t="s">
        <v>69</v>
      </c>
      <c r="C29" s="17" t="str">
        <f>HYPERLINK("https://ra-matina.ru/?vendor_code=KrbilN008А")</f>
        <v>https://ra-matina.ru/?vendor_code=KrbilN008А</v>
      </c>
      <c r="D29" s="15" t="s">
        <v>28</v>
      </c>
      <c r="E29" s="19" t="s">
        <v>22</v>
      </c>
      <c r="F29" s="15" t="s">
        <v>15</v>
      </c>
      <c r="G29" s="21">
        <v>30000.0</v>
      </c>
    </row>
    <row r="30" ht="13.5" customHeight="1">
      <c r="A30" s="15" t="s">
        <v>70</v>
      </c>
      <c r="B30" s="16" t="s">
        <v>71</v>
      </c>
      <c r="C30" s="17" t="str">
        <f>HYPERLINK("https://ra-matina.ru/?vendor_code=KrbilN013А3")</f>
        <v>https://ra-matina.ru/?vendor_code=KrbilN013А3</v>
      </c>
      <c r="D30" s="15" t="s">
        <v>18</v>
      </c>
      <c r="E30" s="19" t="s">
        <v>14</v>
      </c>
      <c r="F30" s="15" t="s">
        <v>15</v>
      </c>
      <c r="G30" s="21">
        <v>32500.0</v>
      </c>
    </row>
    <row r="31" ht="13.5" customHeight="1">
      <c r="A31" s="15" t="s">
        <v>72</v>
      </c>
      <c r="B31" s="16" t="s">
        <v>73</v>
      </c>
      <c r="C31" s="17" t="str">
        <f>HYPERLINK("https://ra-matina.ru/?vendor_code=art_654")</f>
        <v>https://ra-matina.ru/?vendor_code=art_654</v>
      </c>
      <c r="D31" s="18" t="s">
        <v>21</v>
      </c>
      <c r="E31" s="22" t="s">
        <v>22</v>
      </c>
      <c r="F31" s="18" t="s">
        <v>15</v>
      </c>
      <c r="G31" s="20" t="s">
        <v>23</v>
      </c>
    </row>
    <row r="32" ht="13.5" customHeight="1">
      <c r="A32" s="15" t="s">
        <v>74</v>
      </c>
      <c r="B32" s="16" t="s">
        <v>75</v>
      </c>
      <c r="C32" s="17" t="str">
        <f>HYPERLINK("https://ra-matina.ru/?vendor_code=KrbilN009А")</f>
        <v>https://ra-matina.ru/?vendor_code=KrbilN009А</v>
      </c>
      <c r="D32" s="15" t="s">
        <v>28</v>
      </c>
      <c r="E32" s="19" t="s">
        <v>22</v>
      </c>
      <c r="F32" s="15" t="s">
        <v>15</v>
      </c>
      <c r="G32" s="21">
        <v>32900.0</v>
      </c>
    </row>
    <row r="33" ht="13.5" customHeight="1">
      <c r="A33" s="15" t="s">
        <v>76</v>
      </c>
      <c r="B33" s="16" t="s">
        <v>77</v>
      </c>
      <c r="C33" s="17" t="str">
        <f>HYPERLINK("https://ra-matina.ru/?vendor_code=KrbilN003Б")</f>
        <v>https://ra-matina.ru/?vendor_code=KrbilN003Б</v>
      </c>
      <c r="D33" s="15" t="s">
        <v>21</v>
      </c>
      <c r="E33" s="19" t="s">
        <v>22</v>
      </c>
      <c r="F33" s="15" t="s">
        <v>15</v>
      </c>
      <c r="G33" s="21">
        <v>31200.0</v>
      </c>
    </row>
    <row r="34" ht="13.5" customHeight="1">
      <c r="A34" s="15" t="s">
        <v>78</v>
      </c>
      <c r="B34" s="16" t="s">
        <v>79</v>
      </c>
      <c r="C34" s="17" t="str">
        <f>HYPERLINK("https://ra-matina.ru/?vendor_code=KrbilN013А1")</f>
        <v>https://ra-matina.ru/?vendor_code=KrbilN013А1</v>
      </c>
      <c r="D34" s="15" t="s">
        <v>28</v>
      </c>
      <c r="E34" s="19" t="s">
        <v>22</v>
      </c>
      <c r="F34" s="15" t="s">
        <v>15</v>
      </c>
      <c r="G34" s="21">
        <v>40100.0</v>
      </c>
    </row>
    <row r="35" ht="13.5" customHeight="1">
      <c r="A35" s="15" t="s">
        <v>80</v>
      </c>
      <c r="B35" s="16" t="s">
        <v>81</v>
      </c>
      <c r="C35" s="17" t="str">
        <f>HYPERLINK("https://ra-matina.ru/?vendor_code=art_511")</f>
        <v>https://ra-matina.ru/?vendor_code=art_511</v>
      </c>
      <c r="D35" s="18" t="s">
        <v>21</v>
      </c>
      <c r="E35" s="22" t="s">
        <v>22</v>
      </c>
      <c r="F35" s="18" t="s">
        <v>15</v>
      </c>
      <c r="G35" s="20" t="s">
        <v>23</v>
      </c>
    </row>
    <row r="36" ht="13.5" customHeight="1">
      <c r="A36" s="15" t="s">
        <v>82</v>
      </c>
      <c r="B36" s="16" t="s">
        <v>83</v>
      </c>
      <c r="C36" s="17" t="str">
        <f>HYPERLINK("https://ra-matina.ru/?vendor_code=art_617")</f>
        <v>https://ra-matina.ru/?vendor_code=art_617</v>
      </c>
      <c r="D36" s="18" t="s">
        <v>21</v>
      </c>
      <c r="E36" s="22" t="s">
        <v>22</v>
      </c>
      <c r="F36" s="18" t="s">
        <v>15</v>
      </c>
      <c r="G36" s="20" t="s">
        <v>84</v>
      </c>
    </row>
    <row r="37" ht="13.5" customHeight="1">
      <c r="A37" s="15" t="s">
        <v>85</v>
      </c>
      <c r="B37" s="16" t="s">
        <v>86</v>
      </c>
      <c r="C37" s="17" t="str">
        <f>HYPERLINK("https://ra-matina.ru/?vendor_code=KrbilN013А0")</f>
        <v>https://ra-matina.ru/?vendor_code=KrbilN013А0</v>
      </c>
      <c r="D37" s="15" t="s">
        <v>28</v>
      </c>
      <c r="E37" s="19" t="s">
        <v>22</v>
      </c>
      <c r="F37" s="15" t="s">
        <v>15</v>
      </c>
      <c r="G37" s="21">
        <v>29900.0</v>
      </c>
    </row>
    <row r="38" ht="13.5" customHeight="1">
      <c r="A38" s="15" t="s">
        <v>87</v>
      </c>
      <c r="B38" s="16" t="s">
        <v>88</v>
      </c>
      <c r="C38" s="17" t="str">
        <f>HYPERLINK("https://ra-matina.ru/?vendor_code=art_041")</f>
        <v>https://ra-matina.ru/?vendor_code=art_041</v>
      </c>
      <c r="D38" s="18" t="s">
        <v>21</v>
      </c>
      <c r="E38" s="22" t="s">
        <v>22</v>
      </c>
      <c r="F38" s="18" t="s">
        <v>15</v>
      </c>
      <c r="G38" s="20" t="s">
        <v>89</v>
      </c>
    </row>
    <row r="39" ht="13.5" customHeight="1">
      <c r="A39" s="15" t="s">
        <v>90</v>
      </c>
      <c r="B39" s="16" t="s">
        <v>91</v>
      </c>
      <c r="C39" s="24" t="s">
        <v>92</v>
      </c>
      <c r="D39" s="18" t="s">
        <v>28</v>
      </c>
      <c r="E39" s="22" t="s">
        <v>22</v>
      </c>
      <c r="F39" s="18" t="s">
        <v>15</v>
      </c>
      <c r="G39" s="20" t="s">
        <v>93</v>
      </c>
    </row>
    <row r="40" ht="13.5" customHeight="1">
      <c r="A40" s="15" t="s">
        <v>94</v>
      </c>
      <c r="B40" s="16" t="s">
        <v>91</v>
      </c>
      <c r="C40" s="24" t="s">
        <v>95</v>
      </c>
      <c r="D40" s="18" t="s">
        <v>21</v>
      </c>
      <c r="E40" s="22" t="s">
        <v>22</v>
      </c>
      <c r="F40" s="18" t="s">
        <v>15</v>
      </c>
      <c r="G40" s="20" t="s">
        <v>23</v>
      </c>
    </row>
    <row r="41" ht="13.5" customHeight="1">
      <c r="A41" s="15" t="s">
        <v>96</v>
      </c>
      <c r="B41" s="16" t="s">
        <v>97</v>
      </c>
      <c r="C41" s="17" t="str">
        <f>HYPERLINK("https://ra-matina.ru/?vendor_code=KrbilN014А1")</f>
        <v>https://ra-matina.ru/?vendor_code=KrbilN014А1</v>
      </c>
      <c r="D41" s="15" t="s">
        <v>18</v>
      </c>
      <c r="E41" s="19" t="s">
        <v>14</v>
      </c>
      <c r="F41" s="15" t="s">
        <v>15</v>
      </c>
      <c r="G41" s="21">
        <v>40100.0</v>
      </c>
    </row>
    <row r="42" ht="13.5" customHeight="1">
      <c r="A42" s="15" t="s">
        <v>98</v>
      </c>
      <c r="B42" s="16" t="s">
        <v>99</v>
      </c>
      <c r="C42" s="17" t="str">
        <f>HYPERLINK("https://ra-matina.ru/?vendor_code=pa_339")</f>
        <v>https://ra-matina.ru/?vendor_code=pa_339</v>
      </c>
      <c r="D42" s="18" t="s">
        <v>35</v>
      </c>
      <c r="E42" s="19" t="s">
        <v>14</v>
      </c>
      <c r="F42" s="18" t="s">
        <v>15</v>
      </c>
      <c r="G42" s="20" t="s">
        <v>100</v>
      </c>
    </row>
    <row r="43" ht="13.5" customHeight="1">
      <c r="A43" s="15" t="s">
        <v>101</v>
      </c>
      <c r="B43" s="16" t="s">
        <v>102</v>
      </c>
      <c r="C43" s="24" t="s">
        <v>103</v>
      </c>
      <c r="D43" s="18" t="s">
        <v>21</v>
      </c>
      <c r="E43" s="19" t="s">
        <v>22</v>
      </c>
      <c r="F43" s="18" t="s">
        <v>40</v>
      </c>
      <c r="G43" s="20" t="s">
        <v>23</v>
      </c>
    </row>
    <row r="44" ht="13.5" customHeight="1">
      <c r="A44" s="15" t="s">
        <v>104</v>
      </c>
      <c r="B44" s="16" t="s">
        <v>105</v>
      </c>
      <c r="C44" s="17" t="str">
        <f>HYPERLINK("https://ra-matina.ru/?vendor_code=KrbilN014А")</f>
        <v>https://ra-matina.ru/?vendor_code=KrbilN014А</v>
      </c>
      <c r="D44" s="15" t="s">
        <v>28</v>
      </c>
      <c r="E44" s="19" t="s">
        <v>14</v>
      </c>
      <c r="F44" s="15" t="s">
        <v>15</v>
      </c>
      <c r="G44" s="21">
        <v>30000.0</v>
      </c>
    </row>
    <row r="45" ht="13.5" customHeight="1">
      <c r="A45" s="15" t="s">
        <v>106</v>
      </c>
      <c r="B45" s="16" t="s">
        <v>107</v>
      </c>
      <c r="C45" s="17" t="str">
        <f>HYPERLINK("https://ra-matina.ru/?vendor_code=KrbilN014А0")</f>
        <v>https://ra-matina.ru/?vendor_code=KrbilN014А0</v>
      </c>
      <c r="D45" s="15" t="s">
        <v>28</v>
      </c>
      <c r="E45" s="19" t="s">
        <v>22</v>
      </c>
      <c r="F45" s="15" t="s">
        <v>15</v>
      </c>
      <c r="G45" s="21">
        <v>35000.0</v>
      </c>
    </row>
    <row r="46" ht="13.5" customHeight="1">
      <c r="A46" s="15" t="s">
        <v>108</v>
      </c>
      <c r="B46" s="16" t="s">
        <v>109</v>
      </c>
      <c r="C46" s="17" t="str">
        <f>HYPERLINK("https://ra-matina.ru/?vendor_code=К_013A1")</f>
        <v>https://ra-matina.ru/?vendor_code=К_013A1</v>
      </c>
      <c r="D46" s="18" t="s">
        <v>18</v>
      </c>
      <c r="E46" s="19" t="s">
        <v>14</v>
      </c>
      <c r="F46" s="18" t="s">
        <v>15</v>
      </c>
      <c r="G46" s="20" t="s">
        <v>110</v>
      </c>
    </row>
    <row r="47" ht="13.5" customHeight="1">
      <c r="A47" s="15" t="s">
        <v>111</v>
      </c>
      <c r="B47" s="16" t="s">
        <v>109</v>
      </c>
      <c r="C47" s="17" t="str">
        <f>HYPERLINK("https://ra-matina.ru/?vendor_code=К_013B")</f>
        <v>https://ra-matina.ru/?vendor_code=К_013B</v>
      </c>
      <c r="D47" s="18" t="s">
        <v>21</v>
      </c>
      <c r="E47" s="22" t="s">
        <v>22</v>
      </c>
      <c r="F47" s="18" t="s">
        <v>15</v>
      </c>
      <c r="G47" s="20" t="s">
        <v>59</v>
      </c>
    </row>
    <row r="48" ht="13.5" customHeight="1">
      <c r="A48" s="15" t="s">
        <v>112</v>
      </c>
      <c r="B48" s="16" t="s">
        <v>113</v>
      </c>
      <c r="C48" s="17" t="str">
        <f>HYPERLINK("https://ra-matina.ru/?vendor_code=KrbilN016А")</f>
        <v>https://ra-matina.ru/?vendor_code=KrbilN016А</v>
      </c>
      <c r="D48" s="15" t="s">
        <v>28</v>
      </c>
      <c r="E48" s="19" t="s">
        <v>22</v>
      </c>
      <c r="F48" s="15" t="s">
        <v>15</v>
      </c>
      <c r="G48" s="21">
        <v>29900.0</v>
      </c>
    </row>
    <row r="49" ht="13.5" customHeight="1">
      <c r="A49" s="15" t="s">
        <v>114</v>
      </c>
      <c r="B49" s="16" t="s">
        <v>115</v>
      </c>
      <c r="C49" s="17" t="str">
        <f>HYPERLINK("https://ra-matina.ru/?vendor_code=KrbilN018Б1")</f>
        <v>https://ra-matina.ru/?vendor_code=KrbilN018Б1</v>
      </c>
      <c r="D49" s="15" t="s">
        <v>28</v>
      </c>
      <c r="E49" s="19" t="s">
        <v>22</v>
      </c>
      <c r="F49" s="15" t="s">
        <v>15</v>
      </c>
      <c r="G49" s="21">
        <v>33200.0</v>
      </c>
    </row>
    <row r="50" ht="13.5" customHeight="1">
      <c r="A50" s="15" t="s">
        <v>116</v>
      </c>
      <c r="B50" s="16" t="s">
        <v>117</v>
      </c>
      <c r="C50" s="17" t="str">
        <f>HYPERLINK("https://ra-matina.ru/?vendor_code=KrbilN015А")</f>
        <v>https://ra-matina.ru/?vendor_code=KrbilN015А</v>
      </c>
      <c r="D50" s="15" t="s">
        <v>28</v>
      </c>
      <c r="E50" s="19" t="s">
        <v>22</v>
      </c>
      <c r="F50" s="15" t="s">
        <v>15</v>
      </c>
      <c r="G50" s="25" t="s">
        <v>118</v>
      </c>
    </row>
    <row r="51" ht="13.5" customHeight="1">
      <c r="A51" s="15" t="s">
        <v>119</v>
      </c>
      <c r="B51" s="16" t="s">
        <v>120</v>
      </c>
      <c r="C51" s="17" t="str">
        <f>HYPERLINK("https://ra-matina.ru/?vendor_code=KRD128B1GGBB")</f>
        <v>https://ra-matina.ru/?vendor_code=KRD128B1GGBB</v>
      </c>
      <c r="D51" s="18" t="s">
        <v>21</v>
      </c>
      <c r="E51" s="22" t="s">
        <v>22</v>
      </c>
      <c r="F51" s="18" t="s">
        <v>15</v>
      </c>
      <c r="G51" s="20" t="s">
        <v>121</v>
      </c>
    </row>
    <row r="52" ht="13.5" customHeight="1">
      <c r="A52" s="15" t="s">
        <v>122</v>
      </c>
      <c r="B52" s="16" t="s">
        <v>123</v>
      </c>
      <c r="C52" s="17" t="str">
        <f>HYPERLINK("https://ra-matina.ru/?vendor_code=KRD194B3GGBB")</f>
        <v>https://ra-matina.ru/?vendor_code=KRD194B3GGBB</v>
      </c>
      <c r="D52" s="18" t="s">
        <v>35</v>
      </c>
      <c r="E52" s="19" t="s">
        <v>14</v>
      </c>
      <c r="F52" s="18" t="s">
        <v>15</v>
      </c>
      <c r="G52" s="20" t="s">
        <v>124</v>
      </c>
    </row>
    <row r="53" ht="13.5" customHeight="1">
      <c r="A53" s="15" t="s">
        <v>125</v>
      </c>
      <c r="B53" s="26" t="s">
        <v>126</v>
      </c>
      <c r="C53" s="17" t="s">
        <v>127</v>
      </c>
      <c r="D53" s="18" t="s">
        <v>21</v>
      </c>
      <c r="E53" s="19" t="s">
        <v>22</v>
      </c>
      <c r="F53" s="18" t="s">
        <v>40</v>
      </c>
      <c r="G53" s="20" t="s">
        <v>93</v>
      </c>
    </row>
    <row r="54" ht="13.5" customHeight="1">
      <c r="A54" s="15" t="s">
        <v>128</v>
      </c>
      <c r="B54" s="16" t="s">
        <v>129</v>
      </c>
      <c r="C54" s="17" t="str">
        <f>HYPERLINK("https://ra-matina.ru/?vendor_code=П001")</f>
        <v>https://ra-matina.ru/?vendor_code=П001</v>
      </c>
      <c r="D54" s="23" t="s">
        <v>28</v>
      </c>
      <c r="E54" s="22" t="s">
        <v>22</v>
      </c>
      <c r="F54" s="18" t="s">
        <v>15</v>
      </c>
      <c r="G54" s="20" t="s">
        <v>56</v>
      </c>
    </row>
    <row r="55" ht="13.5" customHeight="1">
      <c r="A55" s="15" t="s">
        <v>130</v>
      </c>
      <c r="B55" s="16" t="s">
        <v>131</v>
      </c>
      <c r="C55" s="17" t="str">
        <f>HYPERLINK("https://ra-matina.ru/?vendor_code=П002")</f>
        <v>https://ra-matina.ru/?vendor_code=П002</v>
      </c>
      <c r="D55" s="23" t="s">
        <v>21</v>
      </c>
      <c r="E55" s="22" t="s">
        <v>22</v>
      </c>
      <c r="F55" s="18" t="s">
        <v>15</v>
      </c>
      <c r="G55" s="20" t="s">
        <v>132</v>
      </c>
    </row>
    <row r="56" ht="13.5" customHeight="1">
      <c r="A56" s="15" t="s">
        <v>133</v>
      </c>
      <c r="B56" s="16" t="s">
        <v>134</v>
      </c>
      <c r="C56" s="17" t="str">
        <f>HYPERLINK("https://ra-matina.ru/?vendor_code=KrbilN021Б0")</f>
        <v>https://ra-matina.ru/?vendor_code=KrbilN021Б0</v>
      </c>
      <c r="D56" s="15" t="s">
        <v>21</v>
      </c>
      <c r="E56" s="19" t="s">
        <v>22</v>
      </c>
      <c r="F56" s="15" t="s">
        <v>40</v>
      </c>
      <c r="G56" s="21">
        <v>35000.0</v>
      </c>
    </row>
    <row r="57" ht="13.5" customHeight="1">
      <c r="A57" s="15" t="s">
        <v>135</v>
      </c>
      <c r="B57" s="16" t="s">
        <v>136</v>
      </c>
      <c r="C57" s="17" t="str">
        <f>HYPERLINK("https://ra-matina.ru/?vendor_code=К014")</f>
        <v>https://ra-matina.ru/?vendor_code=К014</v>
      </c>
      <c r="D57" s="23" t="s">
        <v>21</v>
      </c>
      <c r="E57" s="22" t="s">
        <v>22</v>
      </c>
      <c r="F57" s="18" t="s">
        <v>15</v>
      </c>
      <c r="G57" s="20" t="s">
        <v>59</v>
      </c>
    </row>
    <row r="58" ht="13.5" customHeight="1">
      <c r="A58" s="15" t="s">
        <v>137</v>
      </c>
      <c r="B58" s="16" t="s">
        <v>138</v>
      </c>
      <c r="C58" s="17" t="str">
        <f>HYPERLINK("https://ra-matina.ru/?vendor_code=К013")</f>
        <v>https://ra-matina.ru/?vendor_code=К013</v>
      </c>
      <c r="D58" s="23" t="s">
        <v>28</v>
      </c>
      <c r="E58" s="22" t="s">
        <v>22</v>
      </c>
      <c r="F58" s="18" t="s">
        <v>15</v>
      </c>
      <c r="G58" s="20" t="s">
        <v>56</v>
      </c>
    </row>
    <row r="59" ht="13.5" customHeight="1">
      <c r="A59" s="15" t="s">
        <v>139</v>
      </c>
      <c r="B59" s="16" t="s">
        <v>140</v>
      </c>
      <c r="C59" s="17" t="str">
        <f>HYPERLINK("https://ra-matina.ru/?vendor_code=art_509")</f>
        <v>https://ra-matina.ru/?vendor_code=art_509</v>
      </c>
      <c r="D59" s="18" t="s">
        <v>21</v>
      </c>
      <c r="E59" s="22" t="s">
        <v>22</v>
      </c>
      <c r="F59" s="18" t="s">
        <v>15</v>
      </c>
      <c r="G59" s="20" t="s">
        <v>141</v>
      </c>
    </row>
    <row r="60" ht="13.5" customHeight="1">
      <c r="A60" s="15" t="s">
        <v>142</v>
      </c>
      <c r="B60" s="16" t="s">
        <v>143</v>
      </c>
      <c r="C60" s="17" t="str">
        <f>HYPERLINK("https://ra-matina.ru/?vendor_code=KrbilN022А0")</f>
        <v>https://ra-matina.ru/?vendor_code=KrbilN022А0</v>
      </c>
      <c r="D60" s="15" t="s">
        <v>28</v>
      </c>
      <c r="E60" s="19" t="s">
        <v>22</v>
      </c>
      <c r="F60" s="15" t="s">
        <v>15</v>
      </c>
      <c r="G60" s="21">
        <v>31500.0</v>
      </c>
    </row>
    <row r="61" ht="13.5" customHeight="1">
      <c r="A61" s="15" t="s">
        <v>144</v>
      </c>
      <c r="B61" s="16" t="s">
        <v>145</v>
      </c>
      <c r="C61" s="17" t="str">
        <f>HYPERLINK("https://ra-matina.ru/?vendor_code=П009")</f>
        <v>https://ra-matina.ru/?vendor_code=П009</v>
      </c>
      <c r="D61" s="23" t="s">
        <v>28</v>
      </c>
      <c r="E61" s="22" t="s">
        <v>22</v>
      </c>
      <c r="F61" s="18" t="s">
        <v>15</v>
      </c>
      <c r="G61" s="20" t="s">
        <v>56</v>
      </c>
    </row>
    <row r="62" ht="13.5" customHeight="1">
      <c r="A62" s="15" t="s">
        <v>146</v>
      </c>
      <c r="B62" s="16" t="s">
        <v>147</v>
      </c>
      <c r="C62" s="17" t="str">
        <f>HYPERLINK("https://ra-matina.ru/?vendor_code=П010")</f>
        <v>https://ra-matina.ru/?vendor_code=П010</v>
      </c>
      <c r="D62" s="23" t="s">
        <v>21</v>
      </c>
      <c r="E62" s="22" t="s">
        <v>22</v>
      </c>
      <c r="F62" s="18" t="s">
        <v>15</v>
      </c>
      <c r="G62" s="20" t="s">
        <v>59</v>
      </c>
    </row>
    <row r="63" ht="13.5" customHeight="1">
      <c r="A63" s="15" t="s">
        <v>148</v>
      </c>
      <c r="B63" s="16" t="s">
        <v>149</v>
      </c>
      <c r="C63" s="17" t="str">
        <f>HYPERLINK("https://ra-matina.ru/?vendor_code=KRD130A1GGBB")</f>
        <v>https://ra-matina.ru/?vendor_code=KRD130A1GGBB</v>
      </c>
      <c r="D63" s="18" t="s">
        <v>43</v>
      </c>
      <c r="E63" s="19" t="s">
        <v>14</v>
      </c>
      <c r="F63" s="18" t="s">
        <v>15</v>
      </c>
      <c r="G63" s="20" t="s">
        <v>150</v>
      </c>
    </row>
    <row r="64" ht="13.5" customHeight="1">
      <c r="A64" s="15" t="s">
        <v>151</v>
      </c>
      <c r="B64" s="16" t="s">
        <v>152</v>
      </c>
      <c r="C64" s="17" t="str">
        <f>HYPERLINK("https://ra-matina.ru/?vendor_code=KRD049A3GGBB")</f>
        <v>https://ra-matina.ru/?vendor_code=KRD049A3GGBB</v>
      </c>
      <c r="D64" s="18" t="s">
        <v>18</v>
      </c>
      <c r="E64" s="19" t="s">
        <v>14</v>
      </c>
      <c r="F64" s="18" t="s">
        <v>15</v>
      </c>
      <c r="G64" s="20" t="s">
        <v>150</v>
      </c>
    </row>
    <row r="65" ht="13.5" customHeight="1">
      <c r="A65" s="15" t="s">
        <v>153</v>
      </c>
      <c r="B65" s="16" t="s">
        <v>154</v>
      </c>
      <c r="C65" s="17" t="str">
        <f>HYPERLINK("https://ra-matina.ru/?vendor_code=KrbilN022А")</f>
        <v>https://ra-matina.ru/?vendor_code=KrbilN022А</v>
      </c>
      <c r="D65" s="15" t="s">
        <v>28</v>
      </c>
      <c r="E65" s="19" t="s">
        <v>22</v>
      </c>
      <c r="F65" s="15" t="s">
        <v>15</v>
      </c>
      <c r="G65" s="21">
        <v>30900.0</v>
      </c>
    </row>
    <row r="66" ht="13.5" customHeight="1">
      <c r="A66" s="15" t="s">
        <v>155</v>
      </c>
      <c r="B66" s="16" t="s">
        <v>154</v>
      </c>
      <c r="C66" s="17" t="str">
        <f>HYPERLINK("https://ra-matina.ru/?vendor_code=art_444")</f>
        <v>https://ra-matina.ru/?vendor_code=art_444</v>
      </c>
      <c r="D66" s="18" t="s">
        <v>43</v>
      </c>
      <c r="E66" s="19" t="s">
        <v>14</v>
      </c>
      <c r="F66" s="18" t="s">
        <v>15</v>
      </c>
      <c r="G66" s="20" t="s">
        <v>156</v>
      </c>
    </row>
    <row r="67" ht="13.5" customHeight="1">
      <c r="A67" s="15" t="s">
        <v>157</v>
      </c>
      <c r="B67" s="16" t="s">
        <v>158</v>
      </c>
      <c r="C67" s="17" t="str">
        <f>HYPERLINK("https://ra-matina.ru/?vendor_code=KrbilN022А1")</f>
        <v>https://ra-matina.ru/?vendor_code=KrbilN022А1</v>
      </c>
      <c r="D67" s="15" t="s">
        <v>28</v>
      </c>
      <c r="E67" s="19" t="s">
        <v>22</v>
      </c>
      <c r="F67" s="15" t="s">
        <v>15</v>
      </c>
      <c r="G67" s="21">
        <v>34800.0</v>
      </c>
    </row>
    <row r="68" ht="13.5" customHeight="1">
      <c r="A68" s="27" t="s">
        <v>159</v>
      </c>
      <c r="B68" s="28" t="s">
        <v>160</v>
      </c>
      <c r="C68" s="29" t="s">
        <v>161</v>
      </c>
      <c r="D68" s="27" t="s">
        <v>21</v>
      </c>
      <c r="E68" s="19" t="s">
        <v>22</v>
      </c>
      <c r="F68" s="15" t="s">
        <v>15</v>
      </c>
      <c r="G68" s="25" t="s">
        <v>162</v>
      </c>
    </row>
    <row r="69" ht="13.5" customHeight="1">
      <c r="A69" s="15" t="s">
        <v>163</v>
      </c>
      <c r="B69" s="16" t="s">
        <v>164</v>
      </c>
      <c r="C69" s="17" t="str">
        <f>HYPERLINK("https://ra-matina.ru/?vendor_code=KRD136A1GGBB")</f>
        <v>https://ra-matina.ru/?vendor_code=KRD136A1GGBB</v>
      </c>
      <c r="D69" s="18" t="s">
        <v>28</v>
      </c>
      <c r="E69" s="22" t="s">
        <v>22</v>
      </c>
      <c r="F69" s="18" t="s">
        <v>15</v>
      </c>
      <c r="G69" s="20" t="s">
        <v>165</v>
      </c>
    </row>
    <row r="70" ht="13.5" customHeight="1">
      <c r="A70" s="15" t="s">
        <v>166</v>
      </c>
      <c r="B70" s="16" t="s">
        <v>167</v>
      </c>
      <c r="C70" s="17" t="str">
        <f>HYPERLINK("https://ra-matina.ru/?vendor_code=KrbilN030А_1")</f>
        <v>https://ra-matina.ru/?vendor_code=KrbilN030А_1</v>
      </c>
      <c r="D70" s="15" t="s">
        <v>28</v>
      </c>
      <c r="E70" s="19" t="s">
        <v>22</v>
      </c>
      <c r="F70" s="15" t="s">
        <v>15</v>
      </c>
      <c r="G70" s="21">
        <v>32000.0</v>
      </c>
    </row>
    <row r="71" ht="13.5" customHeight="1">
      <c r="A71" s="15" t="s">
        <v>168</v>
      </c>
      <c r="B71" s="16" t="s">
        <v>169</v>
      </c>
      <c r="C71" s="17" t="str">
        <f>HYPERLINK("https://ra-matina.ru/?vendor_code=KrbilN030А1")</f>
        <v>https://ra-matina.ru/?vendor_code=KrbilN030А1</v>
      </c>
      <c r="D71" s="15" t="s">
        <v>28</v>
      </c>
      <c r="E71" s="19" t="s">
        <v>22</v>
      </c>
      <c r="F71" s="15" t="s">
        <v>15</v>
      </c>
      <c r="G71" s="21">
        <v>34000.0</v>
      </c>
    </row>
    <row r="72" ht="13.5" customHeight="1">
      <c r="A72" s="15" t="s">
        <v>170</v>
      </c>
      <c r="B72" s="16" t="s">
        <v>171</v>
      </c>
      <c r="C72" s="17" t="str">
        <f>HYPERLINK("https://ra-matina.ru/?vendor_code=KrbilN031А1")</f>
        <v>https://ra-matina.ru/?vendor_code=KrbilN031А1</v>
      </c>
      <c r="D72" s="15" t="s">
        <v>28</v>
      </c>
      <c r="E72" s="19" t="s">
        <v>22</v>
      </c>
      <c r="F72" s="15" t="s">
        <v>15</v>
      </c>
      <c r="G72" s="21">
        <v>40100.0</v>
      </c>
    </row>
    <row r="73" ht="13.5" customHeight="1">
      <c r="A73" s="15" t="s">
        <v>172</v>
      </c>
      <c r="B73" s="16" t="s">
        <v>173</v>
      </c>
      <c r="C73" s="17" t="str">
        <f>HYPERLINK("https://ra-matina.ru/?vendor_code=KrbilN031А_1")</f>
        <v>https://ra-matina.ru/?vendor_code=KrbilN031А_1</v>
      </c>
      <c r="D73" s="15" t="s">
        <v>28</v>
      </c>
      <c r="E73" s="19" t="s">
        <v>22</v>
      </c>
      <c r="F73" s="15" t="s">
        <v>15</v>
      </c>
      <c r="G73" s="21">
        <v>40100.0</v>
      </c>
    </row>
    <row r="74" ht="13.5" customHeight="1">
      <c r="A74" s="15" t="s">
        <v>174</v>
      </c>
      <c r="B74" s="16" t="s">
        <v>175</v>
      </c>
      <c r="C74" s="17" t="str">
        <f>HYPERLINK("https://ra-matina.ru/?vendor_code=KRD138B1GGBB")</f>
        <v>https://ra-matina.ru/?vendor_code=KRD138B1GGBB</v>
      </c>
      <c r="D74" s="18" t="s">
        <v>21</v>
      </c>
      <c r="E74" s="22" t="s">
        <v>22</v>
      </c>
      <c r="F74" s="18" t="s">
        <v>15</v>
      </c>
      <c r="G74" s="20" t="s">
        <v>176</v>
      </c>
    </row>
    <row r="75" ht="13.5" customHeight="1">
      <c r="A75" s="15" t="s">
        <v>177</v>
      </c>
      <c r="B75" s="16" t="s">
        <v>178</v>
      </c>
      <c r="C75" s="17" t="str">
        <f>HYPERLINK("https://ra-matina.ru/?vendor_code=KRD137A1GGBB")</f>
        <v>https://ra-matina.ru/?vendor_code=KRD137A1GGBB</v>
      </c>
      <c r="D75" s="18" t="s">
        <v>28</v>
      </c>
      <c r="E75" s="22" t="s">
        <v>22</v>
      </c>
      <c r="F75" s="18" t="s">
        <v>15</v>
      </c>
      <c r="G75" s="20" t="s">
        <v>165</v>
      </c>
    </row>
    <row r="76" ht="13.5" customHeight="1">
      <c r="A76" s="15" t="s">
        <v>179</v>
      </c>
      <c r="B76" s="16" t="s">
        <v>180</v>
      </c>
      <c r="C76" s="17" t="str">
        <f>HYPERLINK("https://ra-matina.ru/?vendor_code=KrbilN026А2")</f>
        <v>https://ra-matina.ru/?vendor_code=KrbilN026А2</v>
      </c>
      <c r="D76" s="15" t="s">
        <v>28</v>
      </c>
      <c r="E76" s="19" t="s">
        <v>22</v>
      </c>
      <c r="F76" s="15" t="s">
        <v>15</v>
      </c>
      <c r="G76" s="21">
        <v>40100.0</v>
      </c>
    </row>
    <row r="77" ht="13.5" customHeight="1">
      <c r="A77" s="15" t="s">
        <v>181</v>
      </c>
      <c r="B77" s="16" t="s">
        <v>182</v>
      </c>
      <c r="C77" s="17" t="str">
        <f>HYPERLINK("https://ra-matina.ru/?vendor_code=KrbilN026А3")</f>
        <v>https://ra-matina.ru/?vendor_code=KrbilN026А3</v>
      </c>
      <c r="D77" s="15" t="s">
        <v>28</v>
      </c>
      <c r="E77" s="19" t="s">
        <v>22</v>
      </c>
      <c r="F77" s="15" t="s">
        <v>15</v>
      </c>
      <c r="G77" s="21">
        <v>44300.0</v>
      </c>
    </row>
    <row r="78" ht="13.5" customHeight="1">
      <c r="A78" s="15" t="s">
        <v>183</v>
      </c>
      <c r="B78" s="16" t="s">
        <v>184</v>
      </c>
      <c r="C78" s="17" t="str">
        <f>HYPERLINK("https://ra-matina.ru/?vendor_code=KrbilN030А")</f>
        <v>https://ra-matina.ru/?vendor_code=KrbilN030А</v>
      </c>
      <c r="D78" s="15" t="s">
        <v>28</v>
      </c>
      <c r="E78" s="19" t="s">
        <v>22</v>
      </c>
      <c r="F78" s="15" t="s">
        <v>40</v>
      </c>
      <c r="G78" s="21">
        <v>30000.0</v>
      </c>
    </row>
    <row r="79" ht="13.5" customHeight="1">
      <c r="A79" s="15" t="s">
        <v>185</v>
      </c>
      <c r="B79" s="16" t="s">
        <v>186</v>
      </c>
      <c r="C79" s="17" t="str">
        <f>HYPERLINK("https://ra-matina.ru/?vendor_code=UM_065")</f>
        <v>https://ra-matina.ru/?vendor_code=UM_065</v>
      </c>
      <c r="D79" s="18" t="s">
        <v>21</v>
      </c>
      <c r="E79" s="22" t="s">
        <v>22</v>
      </c>
      <c r="F79" s="30" t="s">
        <v>15</v>
      </c>
      <c r="G79" s="20" t="s">
        <v>84</v>
      </c>
    </row>
    <row r="80" ht="13.5" customHeight="1">
      <c r="A80" s="15" t="s">
        <v>187</v>
      </c>
      <c r="B80" s="16" t="s">
        <v>188</v>
      </c>
      <c r="C80" s="17" t="str">
        <f>HYPERLINK("https://ra-matina.ru/?vendor_code=KrbilN028А")</f>
        <v>https://ra-matina.ru/?vendor_code=KrbilN028А</v>
      </c>
      <c r="D80" s="15" t="s">
        <v>28</v>
      </c>
      <c r="E80" s="19" t="s">
        <v>22</v>
      </c>
      <c r="F80" s="15" t="s">
        <v>15</v>
      </c>
      <c r="G80" s="21">
        <v>31900.0</v>
      </c>
    </row>
    <row r="81" ht="13.5" customHeight="1">
      <c r="A81" s="15" t="s">
        <v>189</v>
      </c>
      <c r="B81" s="16" t="s">
        <v>190</v>
      </c>
      <c r="C81" s="17" t="str">
        <f>HYPERLINK("https://ra-matina.ru/?vendor_code=KrbilN023А")</f>
        <v>https://ra-matina.ru/?vendor_code=KrbilN023А</v>
      </c>
      <c r="D81" s="15" t="s">
        <v>28</v>
      </c>
      <c r="E81" s="19" t="s">
        <v>22</v>
      </c>
      <c r="F81" s="15" t="s">
        <v>40</v>
      </c>
      <c r="G81" s="21">
        <v>28000.0</v>
      </c>
    </row>
    <row r="82" ht="13.5" customHeight="1">
      <c r="A82" s="15" t="s">
        <v>191</v>
      </c>
      <c r="B82" s="16" t="s">
        <v>192</v>
      </c>
      <c r="C82" s="17" t="str">
        <f>HYPERLINK("https://ra-matina.ru/?vendor_code=KrbilN026А1")</f>
        <v>https://ra-matina.ru/?vendor_code=KrbilN026А1</v>
      </c>
      <c r="D82" s="15" t="s">
        <v>28</v>
      </c>
      <c r="E82" s="19" t="s">
        <v>22</v>
      </c>
      <c r="F82" s="15" t="s">
        <v>40</v>
      </c>
      <c r="G82" s="21">
        <v>28000.0</v>
      </c>
    </row>
    <row r="83" ht="13.5" customHeight="1">
      <c r="A83" s="15" t="s">
        <v>193</v>
      </c>
      <c r="B83" s="16" t="s">
        <v>194</v>
      </c>
      <c r="C83" s="17" t="str">
        <f>HYPERLINK("https://ra-matina.ru/?vendor_code=KrbilN024А")</f>
        <v>https://ra-matina.ru/?vendor_code=KrbilN024А</v>
      </c>
      <c r="D83" s="15" t="s">
        <v>28</v>
      </c>
      <c r="E83" s="19" t="s">
        <v>22</v>
      </c>
      <c r="F83" s="15" t="s">
        <v>40</v>
      </c>
      <c r="G83" s="21">
        <v>27000.0</v>
      </c>
    </row>
    <row r="84" ht="13.5" customHeight="1">
      <c r="A84" s="15" t="s">
        <v>195</v>
      </c>
      <c r="B84" s="16" t="s">
        <v>196</v>
      </c>
      <c r="C84" s="17" t="str">
        <f>HYPERLINK("https://ra-matina.ru/?vendor_code=KrbilN027А")</f>
        <v>https://ra-matina.ru/?vendor_code=KrbilN027А</v>
      </c>
      <c r="D84" s="15" t="s">
        <v>28</v>
      </c>
      <c r="E84" s="19" t="s">
        <v>22</v>
      </c>
      <c r="F84" s="15" t="s">
        <v>15</v>
      </c>
      <c r="G84" s="21">
        <v>32000.0</v>
      </c>
    </row>
    <row r="85" ht="13.5" customHeight="1">
      <c r="A85" s="15" t="s">
        <v>197</v>
      </c>
      <c r="B85" s="16" t="s">
        <v>198</v>
      </c>
      <c r="C85" s="17" t="str">
        <f>HYPERLINK("https://ra-matina.ru/?vendor_code=KrbilN026Б")</f>
        <v>https://ra-matina.ru/?vendor_code=KrbilN026Б</v>
      </c>
      <c r="D85" s="15" t="s">
        <v>21</v>
      </c>
      <c r="E85" s="19" t="s">
        <v>22</v>
      </c>
      <c r="F85" s="15" t="s">
        <v>15</v>
      </c>
      <c r="G85" s="21">
        <v>29200.0</v>
      </c>
    </row>
    <row r="86" ht="13.5" customHeight="1">
      <c r="A86" s="15" t="s">
        <v>199</v>
      </c>
      <c r="B86" s="16" t="s">
        <v>200</v>
      </c>
      <c r="C86" s="17" t="str">
        <f>HYPERLINK("https://ra-matina.ru/?vendor_code=KrbilN031А2")</f>
        <v>https://ra-matina.ru/?vendor_code=KrbilN031А2</v>
      </c>
      <c r="D86" s="15" t="s">
        <v>28</v>
      </c>
      <c r="E86" s="19" t="s">
        <v>22</v>
      </c>
      <c r="F86" s="15" t="s">
        <v>15</v>
      </c>
      <c r="G86" s="21">
        <v>40100.0</v>
      </c>
    </row>
    <row r="87" ht="13.5" customHeight="1">
      <c r="A87" s="15" t="s">
        <v>201</v>
      </c>
      <c r="B87" s="16" t="s">
        <v>202</v>
      </c>
      <c r="C87" s="17" t="str">
        <f>HYPERLINK("https://ra-matina.ru/?vendor_code=KrbilN026А4")</f>
        <v>https://ra-matina.ru/?vendor_code=KrbilN026А4</v>
      </c>
      <c r="D87" s="15" t="s">
        <v>28</v>
      </c>
      <c r="E87" s="19" t="s">
        <v>22</v>
      </c>
      <c r="F87" s="15" t="s">
        <v>40</v>
      </c>
      <c r="G87" s="21">
        <v>32000.0</v>
      </c>
    </row>
    <row r="88" ht="13.5" customHeight="1">
      <c r="A88" s="15" t="s">
        <v>203</v>
      </c>
      <c r="B88" s="16" t="s">
        <v>204</v>
      </c>
      <c r="C88" s="17" t="str">
        <f>HYPERLINK("https://ra-matina.ru/?vendor_code=KrbilN025А3")</f>
        <v>https://ra-matina.ru/?vendor_code=KrbilN025А3</v>
      </c>
      <c r="D88" s="15" t="s">
        <v>18</v>
      </c>
      <c r="E88" s="19" t="s">
        <v>14</v>
      </c>
      <c r="F88" s="15" t="s">
        <v>15</v>
      </c>
      <c r="G88" s="21">
        <v>31200.0</v>
      </c>
    </row>
    <row r="89" ht="13.5" customHeight="1">
      <c r="A89" s="15" t="s">
        <v>205</v>
      </c>
      <c r="B89" s="16" t="s">
        <v>206</v>
      </c>
      <c r="C89" s="17" t="str">
        <f>HYPERLINK("https://ra-matina.ru/?vendor_code=К009")</f>
        <v>https://ra-matina.ru/?vendor_code=К009</v>
      </c>
      <c r="D89" s="23" t="s">
        <v>28</v>
      </c>
      <c r="E89" s="22" t="s">
        <v>22</v>
      </c>
      <c r="F89" s="18" t="s">
        <v>15</v>
      </c>
      <c r="G89" s="20" t="s">
        <v>56</v>
      </c>
    </row>
    <row r="90" ht="13.5" customHeight="1">
      <c r="A90" s="15" t="s">
        <v>207</v>
      </c>
      <c r="B90" s="16" t="s">
        <v>208</v>
      </c>
      <c r="C90" s="17" t="str">
        <f>HYPERLINK("https://ra-matina.ru/?vendor_code=К010")</f>
        <v>https://ra-matina.ru/?vendor_code=К010</v>
      </c>
      <c r="D90" s="23" t="s">
        <v>21</v>
      </c>
      <c r="E90" s="22" t="s">
        <v>22</v>
      </c>
      <c r="F90" s="18" t="s">
        <v>15</v>
      </c>
      <c r="G90" s="20" t="s">
        <v>59</v>
      </c>
    </row>
    <row r="91" ht="13.5" customHeight="1">
      <c r="A91" s="15" t="s">
        <v>209</v>
      </c>
      <c r="B91" s="16" t="s">
        <v>210</v>
      </c>
      <c r="C91" s="24" t="s">
        <v>211</v>
      </c>
      <c r="D91" s="23" t="s">
        <v>21</v>
      </c>
      <c r="E91" s="22" t="s">
        <v>22</v>
      </c>
      <c r="F91" s="18" t="s">
        <v>15</v>
      </c>
      <c r="G91" s="20" t="s">
        <v>84</v>
      </c>
    </row>
    <row r="92" ht="13.5" customHeight="1">
      <c r="A92" s="15" t="s">
        <v>212</v>
      </c>
      <c r="B92" s="16" t="s">
        <v>213</v>
      </c>
      <c r="C92" s="17" t="str">
        <f>HYPERLINK("https://ra-matina.ru/?vendor_code=KrbilN030А0")</f>
        <v>https://ra-matina.ru/?vendor_code=KrbilN030А0</v>
      </c>
      <c r="D92" s="15" t="s">
        <v>28</v>
      </c>
      <c r="E92" s="19" t="s">
        <v>22</v>
      </c>
      <c r="F92" s="15" t="s">
        <v>15</v>
      </c>
      <c r="G92" s="21">
        <v>40100.0</v>
      </c>
    </row>
    <row r="93" ht="13.5" customHeight="1">
      <c r="A93" s="15" t="s">
        <v>214</v>
      </c>
      <c r="B93" s="16" t="s">
        <v>215</v>
      </c>
      <c r="C93" s="17" t="str">
        <f>HYPERLINK("https://ra-matina.ru/?vendor_code=art_521")</f>
        <v>https://ra-matina.ru/?vendor_code=art_521</v>
      </c>
      <c r="D93" s="18" t="s">
        <v>21</v>
      </c>
      <c r="E93" s="22" t="s">
        <v>22</v>
      </c>
      <c r="F93" s="18" t="s">
        <v>15</v>
      </c>
      <c r="G93" s="20" t="s">
        <v>141</v>
      </c>
    </row>
    <row r="94" ht="13.5" customHeight="1">
      <c r="A94" s="15" t="s">
        <v>216</v>
      </c>
      <c r="B94" s="16" t="s">
        <v>217</v>
      </c>
      <c r="C94" s="17" t="str">
        <f>HYPERLINK("https://ra-matina.ru/?vendor_code=KrbilN030Б")</f>
        <v>https://ra-matina.ru/?vendor_code=KrbilN030Б</v>
      </c>
      <c r="D94" s="15" t="s">
        <v>21</v>
      </c>
      <c r="E94" s="19" t="s">
        <v>22</v>
      </c>
      <c r="F94" s="15" t="s">
        <v>15</v>
      </c>
      <c r="G94" s="21">
        <v>29200.0</v>
      </c>
    </row>
    <row r="95" ht="13.5" customHeight="1">
      <c r="A95" s="15" t="s">
        <v>218</v>
      </c>
      <c r="B95" s="16" t="s">
        <v>219</v>
      </c>
      <c r="C95" s="17" t="str">
        <f>HYPERLINK("https://ra-matina.ru/?vendor_code=К_009B")</f>
        <v>https://ra-matina.ru/?vendor_code=К_009B</v>
      </c>
      <c r="D95" s="18" t="s">
        <v>21</v>
      </c>
      <c r="E95" s="22" t="s">
        <v>22</v>
      </c>
      <c r="F95" s="18" t="s">
        <v>15</v>
      </c>
      <c r="G95" s="20" t="s">
        <v>220</v>
      </c>
    </row>
    <row r="96" ht="13.5" customHeight="1">
      <c r="A96" s="15" t="s">
        <v>221</v>
      </c>
      <c r="B96" s="16" t="s">
        <v>222</v>
      </c>
      <c r="C96" s="17" t="str">
        <f>HYPERLINK("https://ra-matina.ru/?vendor_code=К_009А")</f>
        <v>https://ra-matina.ru/?vendor_code=К_009А</v>
      </c>
      <c r="D96" s="18" t="s">
        <v>28</v>
      </c>
      <c r="E96" s="22" t="s">
        <v>22</v>
      </c>
      <c r="F96" s="18" t="s">
        <v>15</v>
      </c>
      <c r="G96" s="20" t="s">
        <v>220</v>
      </c>
    </row>
    <row r="97" ht="13.5" customHeight="1">
      <c r="A97" s="15" t="s">
        <v>223</v>
      </c>
      <c r="B97" s="16" t="s">
        <v>224</v>
      </c>
      <c r="C97" s="17" t="str">
        <f>HYPERLINK("https://ra-matina.ru/?vendor_code=К024")</f>
        <v>https://ra-matina.ru/?vendor_code=К024</v>
      </c>
      <c r="D97" s="23" t="s">
        <v>21</v>
      </c>
      <c r="E97" s="22" t="s">
        <v>22</v>
      </c>
      <c r="F97" s="18" t="s">
        <v>15</v>
      </c>
      <c r="G97" s="20" t="s">
        <v>59</v>
      </c>
    </row>
    <row r="98" ht="13.5" customHeight="1">
      <c r="A98" s="15" t="s">
        <v>225</v>
      </c>
      <c r="B98" s="16" t="s">
        <v>226</v>
      </c>
      <c r="C98" s="17" t="str">
        <f>HYPERLINK("https://ra-matina.ru/?vendor_code=К023")</f>
        <v>https://ra-matina.ru/?vendor_code=К023</v>
      </c>
      <c r="D98" s="23" t="s">
        <v>28</v>
      </c>
      <c r="E98" s="22" t="s">
        <v>22</v>
      </c>
      <c r="F98" s="18" t="s">
        <v>15</v>
      </c>
      <c r="G98" s="20" t="s">
        <v>56</v>
      </c>
    </row>
    <row r="99" ht="13.5" customHeight="1">
      <c r="A99" s="15" t="s">
        <v>227</v>
      </c>
      <c r="B99" s="16" t="s">
        <v>228</v>
      </c>
      <c r="C99" s="17" t="str">
        <f>HYPERLINK("https://ra-matina.ru/?vendor_code=К021")</f>
        <v>https://ra-matina.ru/?vendor_code=К021</v>
      </c>
      <c r="D99" s="23" t="s">
        <v>28</v>
      </c>
      <c r="E99" s="22" t="s">
        <v>22</v>
      </c>
      <c r="F99" s="18" t="s">
        <v>15</v>
      </c>
      <c r="G99" s="20" t="s">
        <v>132</v>
      </c>
    </row>
    <row r="100" ht="13.5" customHeight="1">
      <c r="A100" s="15" t="s">
        <v>229</v>
      </c>
      <c r="B100" s="16" t="s">
        <v>230</v>
      </c>
      <c r="C100" s="17" t="str">
        <f>HYPERLINK("https://ra-matina.ru/?vendor_code=К022")</f>
        <v>https://ra-matina.ru/?vendor_code=К022</v>
      </c>
      <c r="D100" s="23" t="s">
        <v>21</v>
      </c>
      <c r="E100" s="22" t="s">
        <v>22</v>
      </c>
      <c r="F100" s="18" t="s">
        <v>15</v>
      </c>
      <c r="G100" s="20" t="s">
        <v>59</v>
      </c>
    </row>
    <row r="101" ht="13.5" customHeight="1">
      <c r="A101" s="15" t="s">
        <v>231</v>
      </c>
      <c r="B101" s="16" t="s">
        <v>232</v>
      </c>
      <c r="C101" s="17" t="str">
        <f>HYPERLINK("https://ra-matina.ru/?vendor_code=П012")</f>
        <v>https://ra-matina.ru/?vendor_code=П012</v>
      </c>
      <c r="D101" s="23" t="s">
        <v>21</v>
      </c>
      <c r="E101" s="22" t="s">
        <v>22</v>
      </c>
      <c r="F101" s="18" t="s">
        <v>15</v>
      </c>
      <c r="G101" s="20" t="s">
        <v>59</v>
      </c>
    </row>
    <row r="102" ht="13.5" customHeight="1">
      <c r="A102" s="15" t="s">
        <v>233</v>
      </c>
      <c r="B102" s="16" t="s">
        <v>234</v>
      </c>
      <c r="C102" s="17" t="str">
        <f>HYPERLINK("https://ra-matina.ru/?vendor_code=П011")</f>
        <v>https://ra-matina.ru/?vendor_code=П011</v>
      </c>
      <c r="D102" s="23" t="s">
        <v>28</v>
      </c>
      <c r="E102" s="22" t="s">
        <v>22</v>
      </c>
      <c r="F102" s="18" t="s">
        <v>15</v>
      </c>
      <c r="G102" s="20" t="s">
        <v>56</v>
      </c>
    </row>
    <row r="103" ht="13.5" customHeight="1">
      <c r="A103" s="15" t="s">
        <v>235</v>
      </c>
      <c r="B103" s="16" t="s">
        <v>236</v>
      </c>
      <c r="C103" s="17" t="str">
        <f>HYPERLINK("https://ra-matina.ru/?vendor_code=К028")</f>
        <v>https://ra-matina.ru/?vendor_code=К028</v>
      </c>
      <c r="D103" s="23" t="s">
        <v>21</v>
      </c>
      <c r="E103" s="22" t="s">
        <v>22</v>
      </c>
      <c r="F103" s="18" t="s">
        <v>15</v>
      </c>
      <c r="G103" s="20" t="s">
        <v>59</v>
      </c>
    </row>
    <row r="104" ht="13.5" customHeight="1">
      <c r="A104" s="15" t="s">
        <v>237</v>
      </c>
      <c r="B104" s="16" t="s">
        <v>238</v>
      </c>
      <c r="C104" s="17" t="str">
        <f>HYPERLINK("https://ra-matina.ru/?vendor_code=К027")</f>
        <v>https://ra-matina.ru/?vendor_code=К027</v>
      </c>
      <c r="D104" s="23" t="s">
        <v>28</v>
      </c>
      <c r="E104" s="22" t="s">
        <v>22</v>
      </c>
      <c r="F104" s="18" t="s">
        <v>15</v>
      </c>
      <c r="G104" s="20" t="s">
        <v>132</v>
      </c>
    </row>
    <row r="105" ht="13.5" customHeight="1">
      <c r="A105" s="15" t="s">
        <v>239</v>
      </c>
      <c r="B105" s="16" t="s">
        <v>240</v>
      </c>
      <c r="C105" s="17" t="str">
        <f>HYPERLINK("https://ra-matina.ru/?vendor_code=К019")</f>
        <v>https://ra-matina.ru/?vendor_code=К019</v>
      </c>
      <c r="D105" s="23" t="s">
        <v>28</v>
      </c>
      <c r="E105" s="22" t="s">
        <v>22</v>
      </c>
      <c r="F105" s="18" t="s">
        <v>15</v>
      </c>
      <c r="G105" s="20" t="s">
        <v>132</v>
      </c>
    </row>
    <row r="106" ht="13.5" customHeight="1">
      <c r="A106" s="15" t="s">
        <v>241</v>
      </c>
      <c r="B106" s="16" t="s">
        <v>242</v>
      </c>
      <c r="C106" s="17" t="str">
        <f>HYPERLINK("https://ra-matina.ru/?vendor_code=К020")</f>
        <v>https://ra-matina.ru/?vendor_code=К020</v>
      </c>
      <c r="D106" s="23" t="s">
        <v>21</v>
      </c>
      <c r="E106" s="22" t="s">
        <v>22</v>
      </c>
      <c r="F106" s="18" t="s">
        <v>15</v>
      </c>
      <c r="G106" s="20" t="s">
        <v>59</v>
      </c>
    </row>
    <row r="107" ht="13.5" customHeight="1">
      <c r="A107" s="15" t="s">
        <v>243</v>
      </c>
      <c r="B107" s="16" t="s">
        <v>244</v>
      </c>
      <c r="C107" s="17" t="str">
        <f>HYPERLINK("https://ra-matina.ru/?vendor_code=К032")</f>
        <v>https://ra-matina.ru/?vendor_code=К032</v>
      </c>
      <c r="D107" s="23" t="s">
        <v>21</v>
      </c>
      <c r="E107" s="22" t="s">
        <v>22</v>
      </c>
      <c r="F107" s="18" t="s">
        <v>15</v>
      </c>
      <c r="G107" s="20" t="s">
        <v>132</v>
      </c>
    </row>
    <row r="108" ht="13.5" customHeight="1">
      <c r="A108" s="15" t="s">
        <v>245</v>
      </c>
      <c r="B108" s="16" t="s">
        <v>246</v>
      </c>
      <c r="C108" s="17" t="str">
        <f>HYPERLINK("https://ra-matina.ru/?vendor_code=К031")</f>
        <v>https://ra-matina.ru/?vendor_code=К031</v>
      </c>
      <c r="D108" s="23" t="s">
        <v>28</v>
      </c>
      <c r="E108" s="22" t="s">
        <v>22</v>
      </c>
      <c r="F108" s="18" t="s">
        <v>15</v>
      </c>
      <c r="G108" s="20" t="s">
        <v>132</v>
      </c>
    </row>
    <row r="109" ht="13.5" customHeight="1">
      <c r="A109" s="15" t="s">
        <v>247</v>
      </c>
      <c r="B109" s="16" t="s">
        <v>248</v>
      </c>
      <c r="C109" s="17" t="str">
        <f>HYPERLINK("https://ra-matina.ru/?vendor_code=KRD012B1OGBB")</f>
        <v>https://ra-matina.ru/?vendor_code=KRD012B1OGBB</v>
      </c>
      <c r="D109" s="18" t="s">
        <v>21</v>
      </c>
      <c r="E109" s="22" t="s">
        <v>22</v>
      </c>
      <c r="F109" s="18" t="s">
        <v>15</v>
      </c>
      <c r="G109" s="20" t="s">
        <v>121</v>
      </c>
    </row>
    <row r="110" ht="13.5" customHeight="1">
      <c r="A110" s="15" t="s">
        <v>249</v>
      </c>
      <c r="B110" s="16" t="s">
        <v>248</v>
      </c>
      <c r="C110" s="17" t="str">
        <f>HYPERLINK("https://ra-matina.ru/?vendor_code=KRD012A1OGBB")</f>
        <v>https://ra-matina.ru/?vendor_code=KRD012A1OGBB</v>
      </c>
      <c r="D110" s="18" t="s">
        <v>43</v>
      </c>
      <c r="E110" s="19" t="s">
        <v>14</v>
      </c>
      <c r="F110" s="18" t="s">
        <v>15</v>
      </c>
      <c r="G110" s="20" t="s">
        <v>150</v>
      </c>
    </row>
    <row r="111" ht="13.5" customHeight="1">
      <c r="A111" s="15" t="s">
        <v>250</v>
      </c>
      <c r="B111" s="16" t="s">
        <v>248</v>
      </c>
      <c r="C111" s="17" t="str">
        <f>HYPERLINK("https://ra-matina.ru/?vendor_code=KrbilN031А3")</f>
        <v>https://ra-matina.ru/?vendor_code=KrbilN031А3</v>
      </c>
      <c r="D111" s="15" t="s">
        <v>18</v>
      </c>
      <c r="E111" s="19" t="s">
        <v>14</v>
      </c>
      <c r="F111" s="15" t="s">
        <v>15</v>
      </c>
      <c r="G111" s="21">
        <v>40100.0</v>
      </c>
    </row>
    <row r="112" ht="13.5" customHeight="1">
      <c r="A112" s="15" t="s">
        <v>251</v>
      </c>
      <c r="B112" s="16" t="s">
        <v>252</v>
      </c>
      <c r="C112" s="17" t="str">
        <f>HYPERLINK("https://ra-matina.ru/?vendor_code=KrbilN031А")</f>
        <v>https://ra-matina.ru/?vendor_code=KrbilN031А</v>
      </c>
      <c r="D112" s="15" t="s">
        <v>28</v>
      </c>
      <c r="E112" s="19" t="s">
        <v>22</v>
      </c>
      <c r="F112" s="15" t="s">
        <v>15</v>
      </c>
      <c r="G112" s="21">
        <v>32500.0</v>
      </c>
    </row>
    <row r="113" ht="13.5" customHeight="1">
      <c r="A113" s="15" t="s">
        <v>253</v>
      </c>
      <c r="B113" s="16" t="s">
        <v>254</v>
      </c>
      <c r="C113" s="17" t="str">
        <f>HYPERLINK("https://ra-matina.ru/?vendor_code=KrbilN031А0")</f>
        <v>https://ra-matina.ru/?vendor_code=KrbilN031А0</v>
      </c>
      <c r="D113" s="15" t="s">
        <v>28</v>
      </c>
      <c r="E113" s="19" t="s">
        <v>22</v>
      </c>
      <c r="F113" s="15" t="s">
        <v>40</v>
      </c>
      <c r="G113" s="21">
        <v>30000.0</v>
      </c>
    </row>
    <row r="114" ht="13.5" customHeight="1">
      <c r="A114" s="15" t="s">
        <v>255</v>
      </c>
      <c r="B114" s="16" t="s">
        <v>254</v>
      </c>
      <c r="C114" s="17" t="str">
        <f>HYPERLINK("https://ra-matina.ru/?vendor_code=KrbilN031Б")</f>
        <v>https://ra-matina.ru/?vendor_code=KrbilN031Б</v>
      </c>
      <c r="D114" s="15" t="s">
        <v>21</v>
      </c>
      <c r="E114" s="19" t="s">
        <v>22</v>
      </c>
      <c r="F114" s="15" t="s">
        <v>40</v>
      </c>
      <c r="G114" s="21">
        <v>27000.0</v>
      </c>
    </row>
    <row r="115" ht="13.5" customHeight="1">
      <c r="A115" s="15" t="s">
        <v>256</v>
      </c>
      <c r="B115" s="16" t="s">
        <v>257</v>
      </c>
      <c r="C115" s="17" t="str">
        <f>HYPERLINK("https://ra-matina.ru/?vendor_code=К_015A")</f>
        <v>https://ra-matina.ru/?vendor_code=К_015A</v>
      </c>
      <c r="D115" s="18" t="s">
        <v>28</v>
      </c>
      <c r="E115" s="22" t="s">
        <v>22</v>
      </c>
      <c r="F115" s="18" t="s">
        <v>15</v>
      </c>
      <c r="G115" s="20" t="s">
        <v>59</v>
      </c>
    </row>
    <row r="116" ht="13.5" customHeight="1">
      <c r="A116" s="15" t="s">
        <v>258</v>
      </c>
      <c r="B116" s="16" t="s">
        <v>259</v>
      </c>
      <c r="C116" s="17" t="str">
        <f>HYPERLINK("https://ra-matina.ru/?vendor_code=К_015B")</f>
        <v>https://ra-matina.ru/?vendor_code=К_015B</v>
      </c>
      <c r="D116" s="18" t="s">
        <v>21</v>
      </c>
      <c r="E116" s="22" t="s">
        <v>22</v>
      </c>
      <c r="F116" s="18" t="s">
        <v>15</v>
      </c>
      <c r="G116" s="20" t="s">
        <v>260</v>
      </c>
    </row>
    <row r="117" ht="13.5" customHeight="1">
      <c r="A117" s="15" t="s">
        <v>261</v>
      </c>
      <c r="B117" s="16" t="s">
        <v>262</v>
      </c>
      <c r="C117" s="17" t="str">
        <f>HYPERLINK("https://ra-matina.ru/?vendor_code=KrbilN032А3")</f>
        <v>https://ra-matina.ru/?vendor_code=KrbilN032А3</v>
      </c>
      <c r="D117" s="15" t="s">
        <v>18</v>
      </c>
      <c r="E117" s="19" t="s">
        <v>14</v>
      </c>
      <c r="F117" s="15" t="s">
        <v>15</v>
      </c>
      <c r="G117" s="21">
        <v>30200.0</v>
      </c>
    </row>
    <row r="118" ht="13.5" customHeight="1">
      <c r="A118" s="15" t="s">
        <v>263</v>
      </c>
      <c r="B118" s="16" t="s">
        <v>264</v>
      </c>
      <c r="C118" s="17" t="str">
        <f>HYPERLINK("https://ra-matina.ru/?vendor_code=art_001")</f>
        <v>https://ra-matina.ru/?vendor_code=art_001</v>
      </c>
      <c r="D118" s="18" t="s">
        <v>18</v>
      </c>
      <c r="E118" s="19" t="s">
        <v>14</v>
      </c>
      <c r="F118" s="18" t="s">
        <v>15</v>
      </c>
      <c r="G118" s="20" t="s">
        <v>265</v>
      </c>
    </row>
    <row r="119" ht="13.5" customHeight="1">
      <c r="A119" s="15" t="s">
        <v>266</v>
      </c>
      <c r="B119" s="16" t="s">
        <v>267</v>
      </c>
      <c r="C119" s="24" t="s">
        <v>268</v>
      </c>
      <c r="D119" s="18" t="s">
        <v>21</v>
      </c>
      <c r="E119" s="19" t="s">
        <v>22</v>
      </c>
      <c r="F119" s="18" t="s">
        <v>15</v>
      </c>
      <c r="G119" s="20" t="s">
        <v>141</v>
      </c>
    </row>
    <row r="120" ht="13.5" customHeight="1">
      <c r="A120" s="15" t="s">
        <v>269</v>
      </c>
      <c r="B120" s="16" t="s">
        <v>270</v>
      </c>
      <c r="C120" s="17" t="str">
        <f>HYPERLINK("https://ra-matina.ru/?vendor_code=KRD145B1GGBB")</f>
        <v>https://ra-matina.ru/?vendor_code=KRD145B1GGBB</v>
      </c>
      <c r="D120" s="18" t="s">
        <v>21</v>
      </c>
      <c r="E120" s="22" t="s">
        <v>22</v>
      </c>
      <c r="F120" s="18" t="s">
        <v>15</v>
      </c>
      <c r="G120" s="20" t="s">
        <v>271</v>
      </c>
    </row>
    <row r="121" ht="13.5" customHeight="1">
      <c r="A121" s="15" t="s">
        <v>272</v>
      </c>
      <c r="B121" s="16" t="s">
        <v>273</v>
      </c>
      <c r="C121" s="17" t="str">
        <f>HYPERLINK("https://ra-matina.ru/?vendor_code=KrbilN032А0")</f>
        <v>https://ra-matina.ru/?vendor_code=KrbilN032А0</v>
      </c>
      <c r="D121" s="15" t="s">
        <v>28</v>
      </c>
      <c r="E121" s="19" t="s">
        <v>22</v>
      </c>
      <c r="F121" s="15" t="s">
        <v>40</v>
      </c>
      <c r="G121" s="21">
        <v>30000.0</v>
      </c>
    </row>
    <row r="122" ht="13.5" customHeight="1">
      <c r="A122" s="15" t="s">
        <v>274</v>
      </c>
      <c r="B122" s="16" t="s">
        <v>275</v>
      </c>
      <c r="C122" s="17" t="str">
        <f>HYPERLINK("https://ra-matina.ru/?vendor_code=art_004")</f>
        <v>https://ra-matina.ru/?vendor_code=art_004</v>
      </c>
      <c r="D122" s="18" t="s">
        <v>21</v>
      </c>
      <c r="E122" s="22" t="s">
        <v>22</v>
      </c>
      <c r="F122" s="18" t="s">
        <v>15</v>
      </c>
      <c r="G122" s="20" t="s">
        <v>84</v>
      </c>
    </row>
    <row r="123" ht="13.5" customHeight="1">
      <c r="A123" s="15" t="s">
        <v>276</v>
      </c>
      <c r="B123" s="16" t="s">
        <v>277</v>
      </c>
      <c r="C123" s="17" t="str">
        <f>HYPERLINK("https://ra-matina.ru/?vendor_code=KrbilN032А")</f>
        <v>https://ra-matina.ru/?vendor_code=KrbilN032А</v>
      </c>
      <c r="D123" s="15" t="s">
        <v>28</v>
      </c>
      <c r="E123" s="19" t="s">
        <v>22</v>
      </c>
      <c r="F123" s="15" t="s">
        <v>15</v>
      </c>
      <c r="G123" s="21">
        <v>31900.0</v>
      </c>
    </row>
    <row r="124" ht="13.5" customHeight="1">
      <c r="A124" s="15" t="s">
        <v>278</v>
      </c>
      <c r="B124" s="16" t="s">
        <v>279</v>
      </c>
      <c r="C124" s="17" t="str">
        <f>HYPERLINK("https://ra-matina.ru/?vendor_code=pa_277")</f>
        <v>https://ra-matina.ru/?vendor_code=pa_277</v>
      </c>
      <c r="D124" s="18" t="s">
        <v>21</v>
      </c>
      <c r="E124" s="22" t="s">
        <v>22</v>
      </c>
      <c r="F124" s="18" t="s">
        <v>15</v>
      </c>
      <c r="G124" s="20" t="s">
        <v>280</v>
      </c>
    </row>
    <row r="125" ht="13.5" customHeight="1">
      <c r="A125" s="15" t="s">
        <v>281</v>
      </c>
      <c r="B125" s="16" t="s">
        <v>282</v>
      </c>
      <c r="C125" s="17" t="s">
        <v>283</v>
      </c>
      <c r="D125" s="15" t="s">
        <v>28</v>
      </c>
      <c r="E125" s="22" t="s">
        <v>22</v>
      </c>
      <c r="F125" s="18" t="s">
        <v>15</v>
      </c>
      <c r="G125" s="20" t="s">
        <v>284</v>
      </c>
    </row>
    <row r="126" ht="13.5" customHeight="1">
      <c r="A126" s="15" t="s">
        <v>285</v>
      </c>
      <c r="B126" s="16" t="s">
        <v>286</v>
      </c>
      <c r="C126" s="17" t="str">
        <f>HYPERLINK("https://ra-matina.ru/?vendor_code=П014")</f>
        <v>https://ra-matina.ru/?vendor_code=П014</v>
      </c>
      <c r="D126" s="23" t="s">
        <v>21</v>
      </c>
      <c r="E126" s="22" t="s">
        <v>22</v>
      </c>
      <c r="F126" s="18" t="s">
        <v>15</v>
      </c>
      <c r="G126" s="20" t="s">
        <v>287</v>
      </c>
    </row>
    <row r="127" ht="13.5" customHeight="1">
      <c r="A127" s="15" t="s">
        <v>288</v>
      </c>
      <c r="B127" s="16" t="s">
        <v>289</v>
      </c>
      <c r="C127" s="17" t="str">
        <f>HYPERLINK("https://ra-matina.ru/?vendor_code=П013")</f>
        <v>https://ra-matina.ru/?vendor_code=П013</v>
      </c>
      <c r="D127" s="23" t="s">
        <v>28</v>
      </c>
      <c r="E127" s="22" t="s">
        <v>22</v>
      </c>
      <c r="F127" s="18" t="s">
        <v>15</v>
      </c>
      <c r="G127" s="20" t="s">
        <v>56</v>
      </c>
    </row>
    <row r="128" ht="13.5" customHeight="1">
      <c r="A128" s="15" t="s">
        <v>290</v>
      </c>
      <c r="B128" s="16" t="s">
        <v>291</v>
      </c>
      <c r="C128" s="17" t="str">
        <f>HYPERLINK("https://ra-matina.ru/?vendor_code=К007")</f>
        <v>https://ra-matina.ru/?vendor_code=К007</v>
      </c>
      <c r="D128" s="18" t="s">
        <v>28</v>
      </c>
      <c r="E128" s="22" t="s">
        <v>22</v>
      </c>
      <c r="F128" s="18" t="s">
        <v>15</v>
      </c>
      <c r="G128" s="20" t="s">
        <v>56</v>
      </c>
    </row>
    <row r="129" ht="13.5" customHeight="1">
      <c r="A129" s="15" t="s">
        <v>292</v>
      </c>
      <c r="B129" s="16" t="s">
        <v>293</v>
      </c>
      <c r="C129" s="17" t="str">
        <f>HYPERLINK("https://ra-matina.ru/?vendor_code=К008")</f>
        <v>https://ra-matina.ru/?vendor_code=К008</v>
      </c>
      <c r="D129" s="23" t="s">
        <v>21</v>
      </c>
      <c r="E129" s="22" t="s">
        <v>22</v>
      </c>
      <c r="F129" s="18" t="s">
        <v>15</v>
      </c>
      <c r="G129" s="20" t="s">
        <v>59</v>
      </c>
    </row>
    <row r="130" ht="13.5" customHeight="1">
      <c r="A130" s="15" t="s">
        <v>294</v>
      </c>
      <c r="B130" s="16" t="s">
        <v>295</v>
      </c>
      <c r="C130" s="17" t="str">
        <f>HYPERLINK("https://ra-matina.ru/?vendor_code=KrbilN036А2")</f>
        <v>https://ra-matina.ru/?vendor_code=KrbilN036А2</v>
      </c>
      <c r="D130" s="15" t="s">
        <v>13</v>
      </c>
      <c r="E130" s="19" t="s">
        <v>14</v>
      </c>
      <c r="F130" s="15" t="s">
        <v>15</v>
      </c>
      <c r="G130" s="21">
        <v>30000.0</v>
      </c>
    </row>
    <row r="131" ht="13.5" customHeight="1">
      <c r="A131" s="15" t="s">
        <v>296</v>
      </c>
      <c r="B131" s="16" t="s">
        <v>297</v>
      </c>
      <c r="C131" s="17" t="str">
        <f>HYPERLINK("https://ra-matina.ru/?vendor_code=KrbilN036А3")</f>
        <v>https://ra-matina.ru/?vendor_code=KrbilN036А3</v>
      </c>
      <c r="D131" s="15" t="s">
        <v>18</v>
      </c>
      <c r="E131" s="19" t="s">
        <v>14</v>
      </c>
      <c r="F131" s="15" t="s">
        <v>15</v>
      </c>
      <c r="G131" s="21">
        <v>34900.0</v>
      </c>
    </row>
    <row r="132" ht="13.5" customHeight="1">
      <c r="A132" s="15" t="s">
        <v>298</v>
      </c>
      <c r="B132" s="16" t="s">
        <v>299</v>
      </c>
      <c r="C132" s="17" t="str">
        <f>HYPERLINK("https://ra-matina.ru/?vendor_code=KrbilN033А1")</f>
        <v>https://ra-matina.ru/?vendor_code=KrbilN033А1</v>
      </c>
      <c r="D132" s="15" t="s">
        <v>43</v>
      </c>
      <c r="E132" s="19" t="s">
        <v>14</v>
      </c>
      <c r="F132" s="15" t="s">
        <v>15</v>
      </c>
      <c r="G132" s="21">
        <v>32500.0</v>
      </c>
    </row>
    <row r="133" ht="13.5" customHeight="1">
      <c r="A133" s="15" t="s">
        <v>300</v>
      </c>
      <c r="B133" s="16" t="s">
        <v>301</v>
      </c>
      <c r="C133" s="17" t="str">
        <f>HYPERLINK("https://ra-matina.ru/?vendor_code=KRD195B2GGBB")</f>
        <v>https://ra-matina.ru/?vendor_code=KRD195B2GGBB</v>
      </c>
      <c r="D133" s="18" t="s">
        <v>302</v>
      </c>
      <c r="E133" s="19" t="s">
        <v>14</v>
      </c>
      <c r="F133" s="18" t="s">
        <v>15</v>
      </c>
      <c r="G133" s="20" t="s">
        <v>176</v>
      </c>
    </row>
    <row r="134" ht="13.5" customHeight="1">
      <c r="A134" s="15" t="s">
        <v>303</v>
      </c>
      <c r="B134" s="16" t="s">
        <v>304</v>
      </c>
      <c r="C134" s="17" t="str">
        <f>HYPERLINK("https://ra-matina.ru/?vendor_code=К004")</f>
        <v>https://ra-matina.ru/?vendor_code=К004</v>
      </c>
      <c r="D134" s="18" t="s">
        <v>21</v>
      </c>
      <c r="E134" s="22" t="s">
        <v>22</v>
      </c>
      <c r="F134" s="18" t="s">
        <v>15</v>
      </c>
      <c r="G134" s="20" t="s">
        <v>59</v>
      </c>
    </row>
    <row r="135" ht="13.5" customHeight="1">
      <c r="A135" s="15" t="s">
        <v>305</v>
      </c>
      <c r="B135" s="16" t="s">
        <v>306</v>
      </c>
      <c r="C135" s="17" t="str">
        <f>HYPERLINK("https://ra-matina.ru/?vendor_code=К003")</f>
        <v>https://ra-matina.ru/?vendor_code=К003</v>
      </c>
      <c r="D135" s="18" t="s">
        <v>28</v>
      </c>
      <c r="E135" s="22" t="s">
        <v>22</v>
      </c>
      <c r="F135" s="18" t="s">
        <v>15</v>
      </c>
      <c r="G135" s="20" t="s">
        <v>132</v>
      </c>
    </row>
    <row r="136" ht="13.5" customHeight="1">
      <c r="A136" s="15" t="s">
        <v>307</v>
      </c>
      <c r="B136" s="16" t="s">
        <v>308</v>
      </c>
      <c r="C136" s="17" t="str">
        <f>HYPERLINK("https://ra-matina.ru/?vendor_code=К006")</f>
        <v>https://ra-matina.ru/?vendor_code=К006</v>
      </c>
      <c r="D136" s="18" t="s">
        <v>21</v>
      </c>
      <c r="E136" s="22" t="s">
        <v>22</v>
      </c>
      <c r="F136" s="18" t="s">
        <v>15</v>
      </c>
      <c r="G136" s="20" t="s">
        <v>59</v>
      </c>
    </row>
    <row r="137" ht="13.5" customHeight="1">
      <c r="A137" s="15" t="s">
        <v>309</v>
      </c>
      <c r="B137" s="16" t="s">
        <v>310</v>
      </c>
      <c r="C137" s="17" t="str">
        <f>HYPERLINK("https://ra-matina.ru/?vendor_code=К005")</f>
        <v>https://ra-matina.ru/?vendor_code=К005</v>
      </c>
      <c r="D137" s="18" t="s">
        <v>28</v>
      </c>
      <c r="E137" s="22" t="s">
        <v>22</v>
      </c>
      <c r="F137" s="18" t="s">
        <v>15</v>
      </c>
      <c r="G137" s="20" t="s">
        <v>56</v>
      </c>
    </row>
    <row r="138" ht="13.5" customHeight="1">
      <c r="A138" s="15" t="s">
        <v>311</v>
      </c>
      <c r="B138" s="16" t="s">
        <v>312</v>
      </c>
      <c r="C138" s="17" t="str">
        <f>HYPERLINK("https://ra-matina.ru/?vendor_code=П016")</f>
        <v>https://ra-matina.ru/?vendor_code=П016</v>
      </c>
      <c r="D138" s="23" t="s">
        <v>21</v>
      </c>
      <c r="E138" s="22" t="s">
        <v>22</v>
      </c>
      <c r="F138" s="18" t="s">
        <v>15</v>
      </c>
      <c r="G138" s="20" t="s">
        <v>59</v>
      </c>
    </row>
    <row r="139" ht="13.5" customHeight="1">
      <c r="A139" s="15" t="s">
        <v>313</v>
      </c>
      <c r="B139" s="16" t="s">
        <v>314</v>
      </c>
      <c r="C139" s="17" t="str">
        <f>HYPERLINK("https://ra-matina.ru/?vendor_code=П015")</f>
        <v>https://ra-matina.ru/?vendor_code=П015</v>
      </c>
      <c r="D139" s="23" t="s">
        <v>28</v>
      </c>
      <c r="E139" s="22" t="s">
        <v>22</v>
      </c>
      <c r="F139" s="18" t="s">
        <v>15</v>
      </c>
      <c r="G139" s="20" t="s">
        <v>56</v>
      </c>
    </row>
    <row r="140" ht="13.5" customHeight="1">
      <c r="A140" s="15" t="s">
        <v>315</v>
      </c>
      <c r="B140" s="16" t="s">
        <v>316</v>
      </c>
      <c r="C140" s="17" t="str">
        <f>HYPERLINK("https://ra-matina.ru/?vendor_code=KrbilN037А")</f>
        <v>https://ra-matina.ru/?vendor_code=KrbilN037А</v>
      </c>
      <c r="D140" s="15" t="s">
        <v>28</v>
      </c>
      <c r="E140" s="19" t="s">
        <v>22</v>
      </c>
      <c r="F140" s="15" t="s">
        <v>40</v>
      </c>
      <c r="G140" s="21">
        <v>32000.0</v>
      </c>
    </row>
    <row r="141" ht="13.5" customHeight="1">
      <c r="A141" s="15" t="s">
        <v>317</v>
      </c>
      <c r="B141" s="16" t="s">
        <v>316</v>
      </c>
      <c r="C141" s="17" t="str">
        <f>HYPERLINK("https://ra-matina.ru/?vendor_code=KrbilN038А")</f>
        <v>https://ra-matina.ru/?vendor_code=KrbilN038А</v>
      </c>
      <c r="D141" s="15" t="s">
        <v>21</v>
      </c>
      <c r="E141" s="19" t="s">
        <v>22</v>
      </c>
      <c r="F141" s="15" t="s">
        <v>40</v>
      </c>
      <c r="G141" s="21">
        <v>28500.0</v>
      </c>
      <c r="H141" s="31"/>
    </row>
    <row r="142" ht="13.5" customHeight="1">
      <c r="A142" s="15" t="s">
        <v>318</v>
      </c>
      <c r="B142" s="16" t="s">
        <v>319</v>
      </c>
      <c r="C142" s="17" t="str">
        <f>HYPERLINK("https://ra-matina.ru/?vendor_code=KRD149A3GGBB")</f>
        <v>https://ra-matina.ru/?vendor_code=KRD149A3GGBB</v>
      </c>
      <c r="D142" s="18" t="s">
        <v>18</v>
      </c>
      <c r="E142" s="19" t="s">
        <v>14</v>
      </c>
      <c r="F142" s="18" t="s">
        <v>15</v>
      </c>
      <c r="G142" s="20" t="s">
        <v>320</v>
      </c>
      <c r="H142" s="31"/>
    </row>
    <row r="143" ht="13.5" customHeight="1">
      <c r="A143" s="15" t="s">
        <v>321</v>
      </c>
      <c r="B143" s="16" t="s">
        <v>322</v>
      </c>
      <c r="C143" s="17" t="str">
        <f>HYPERLINK("https://ra-matina.ru/?vendor_code=К_014")</f>
        <v>https://ra-matina.ru/?vendor_code=К_014</v>
      </c>
      <c r="D143" s="18" t="s">
        <v>21</v>
      </c>
      <c r="E143" s="22" t="s">
        <v>22</v>
      </c>
      <c r="F143" s="18" t="s">
        <v>15</v>
      </c>
      <c r="G143" s="20" t="s">
        <v>59</v>
      </c>
    </row>
    <row r="144" ht="13.5" customHeight="1">
      <c r="A144" s="15" t="s">
        <v>323</v>
      </c>
      <c r="B144" s="16" t="s">
        <v>324</v>
      </c>
      <c r="C144" s="17" t="str">
        <f>HYPERLINK("https://ra-matina.ru/?vendor_code=К_014A")</f>
        <v>https://ra-matina.ru/?vendor_code=К_014A</v>
      </c>
      <c r="D144" s="18" t="s">
        <v>28</v>
      </c>
      <c r="E144" s="22" t="s">
        <v>22</v>
      </c>
      <c r="F144" s="18" t="s">
        <v>15</v>
      </c>
      <c r="G144" s="20" t="s">
        <v>220</v>
      </c>
    </row>
    <row r="145" ht="13.5" customHeight="1">
      <c r="A145" s="15" t="s">
        <v>325</v>
      </c>
      <c r="B145" s="16" t="s">
        <v>326</v>
      </c>
      <c r="C145" s="17" t="str">
        <f>HYPERLINK("https://ra-matina.ru/?vendor_code=К_021")</f>
        <v>https://ra-matina.ru/?vendor_code=К_021</v>
      </c>
      <c r="D145" s="18" t="s">
        <v>28</v>
      </c>
      <c r="E145" s="22" t="s">
        <v>22</v>
      </c>
      <c r="F145" s="18" t="s">
        <v>15</v>
      </c>
      <c r="G145" s="20" t="s">
        <v>59</v>
      </c>
    </row>
    <row r="146" ht="13.5" customHeight="1">
      <c r="A146" s="15" t="s">
        <v>327</v>
      </c>
      <c r="B146" s="16" t="s">
        <v>326</v>
      </c>
      <c r="C146" s="17" t="str">
        <f>HYPERLINK("https://ra-matina.ru/?vendor_code=К_021-1")</f>
        <v>https://ra-matina.ru/?vendor_code=К_021-1</v>
      </c>
      <c r="D146" s="18" t="s">
        <v>21</v>
      </c>
      <c r="E146" s="22" t="s">
        <v>22</v>
      </c>
      <c r="F146" s="18" t="s">
        <v>15</v>
      </c>
      <c r="G146" s="20" t="s">
        <v>220</v>
      </c>
    </row>
    <row r="147" ht="13.5" customHeight="1">
      <c r="A147" s="15" t="s">
        <v>328</v>
      </c>
      <c r="B147" s="16" t="s">
        <v>329</v>
      </c>
      <c r="C147" s="17" t="str">
        <f>HYPERLINK("https://ra-matina.ru/?vendor_code=К_028A")</f>
        <v>https://ra-matina.ru/?vendor_code=К_028A</v>
      </c>
      <c r="D147" s="18" t="s">
        <v>28</v>
      </c>
      <c r="E147" s="22" t="s">
        <v>22</v>
      </c>
      <c r="F147" s="18" t="s">
        <v>15</v>
      </c>
      <c r="G147" s="20" t="s">
        <v>220</v>
      </c>
    </row>
    <row r="148" ht="13.5" customHeight="1">
      <c r="A148" s="15" t="s">
        <v>330</v>
      </c>
      <c r="B148" s="16" t="s">
        <v>329</v>
      </c>
      <c r="C148" s="17" t="str">
        <f>HYPERLINK("https://ra-matina.ru/?vendor_code=К_028")</f>
        <v>https://ra-matina.ru/?vendor_code=К_028</v>
      </c>
      <c r="D148" s="18" t="s">
        <v>21</v>
      </c>
      <c r="E148" s="22" t="s">
        <v>22</v>
      </c>
      <c r="F148" s="18" t="s">
        <v>15</v>
      </c>
      <c r="G148" s="20" t="s">
        <v>59</v>
      </c>
    </row>
    <row r="149" ht="13.5" customHeight="1">
      <c r="A149" s="15" t="s">
        <v>331</v>
      </c>
      <c r="B149" s="16" t="s">
        <v>332</v>
      </c>
      <c r="C149" s="17" t="str">
        <f>HYPERLINK("https://ra-matina.ru/?vendor_code=К_019")</f>
        <v>https://ra-matina.ru/?vendor_code=К_019</v>
      </c>
      <c r="D149" s="18" t="s">
        <v>28</v>
      </c>
      <c r="E149" s="22" t="s">
        <v>22</v>
      </c>
      <c r="F149" s="18" t="s">
        <v>15</v>
      </c>
      <c r="G149" s="20" t="s">
        <v>220</v>
      </c>
    </row>
    <row r="150" ht="13.5" customHeight="1">
      <c r="A150" s="15" t="s">
        <v>333</v>
      </c>
      <c r="B150" s="16" t="s">
        <v>334</v>
      </c>
      <c r="C150" s="17" t="str">
        <f>HYPERLINK("https://ra-matina.ru/?vendor_code=К_020-1")</f>
        <v>https://ra-matina.ru/?vendor_code=К_020-1</v>
      </c>
      <c r="D150" s="18" t="s">
        <v>21</v>
      </c>
      <c r="E150" s="22" t="s">
        <v>22</v>
      </c>
      <c r="F150" s="18" t="s">
        <v>15</v>
      </c>
      <c r="G150" s="20" t="s">
        <v>220</v>
      </c>
    </row>
    <row r="151" ht="13.5" customHeight="1">
      <c r="A151" s="15" t="s">
        <v>335</v>
      </c>
      <c r="B151" s="16" t="s">
        <v>336</v>
      </c>
      <c r="C151" s="17" t="str">
        <f>HYPERLINK("https://ra-matina.ru/?vendor_code=К_020")</f>
        <v>https://ra-matina.ru/?vendor_code=К_020</v>
      </c>
      <c r="D151" s="18" t="s">
        <v>28</v>
      </c>
      <c r="E151" s="22" t="s">
        <v>22</v>
      </c>
      <c r="F151" s="18" t="s">
        <v>15</v>
      </c>
      <c r="G151" s="20" t="s">
        <v>59</v>
      </c>
    </row>
    <row r="152" ht="13.5" customHeight="1">
      <c r="A152" s="15" t="s">
        <v>337</v>
      </c>
      <c r="B152" s="16" t="s">
        <v>338</v>
      </c>
      <c r="C152" s="17" t="str">
        <f>HYPERLINK("https://ra-matina.ru/?vendor_code=К_008A4")</f>
        <v>https://ra-matina.ru/?vendor_code=К_008A4</v>
      </c>
      <c r="D152" s="18" t="s">
        <v>18</v>
      </c>
      <c r="E152" s="19" t="s">
        <v>14</v>
      </c>
      <c r="F152" s="18" t="s">
        <v>15</v>
      </c>
      <c r="G152" s="20" t="s">
        <v>110</v>
      </c>
    </row>
    <row r="153" ht="13.5" customHeight="1">
      <c r="A153" s="15" t="s">
        <v>339</v>
      </c>
      <c r="B153" s="16" t="s">
        <v>340</v>
      </c>
      <c r="C153" s="17" t="str">
        <f>HYPERLINK("https://ra-matina.ru/?vendor_code=К_008A1")</f>
        <v>https://ra-matina.ru/?vendor_code=К_008A1</v>
      </c>
      <c r="D153" s="18" t="s">
        <v>18</v>
      </c>
      <c r="E153" s="19" t="s">
        <v>14</v>
      </c>
      <c r="F153" s="18" t="s">
        <v>15</v>
      </c>
      <c r="G153" s="20" t="s">
        <v>110</v>
      </c>
    </row>
    <row r="154" ht="13.5" customHeight="1">
      <c r="A154" s="15" t="s">
        <v>341</v>
      </c>
      <c r="B154" s="16" t="s">
        <v>342</v>
      </c>
      <c r="C154" s="17" t="str">
        <f>HYPERLINK("https://ra-matina.ru/?vendor_code=КД0141А")</f>
        <v>https://ra-matina.ru/?vendor_code=КД0141А</v>
      </c>
      <c r="D154" s="15"/>
      <c r="E154" s="19"/>
      <c r="F154" s="15"/>
      <c r="G154" s="21">
        <v>27550.0</v>
      </c>
    </row>
    <row r="155" ht="13.5" customHeight="1">
      <c r="A155" s="15" t="s">
        <v>343</v>
      </c>
      <c r="B155" s="16" t="s">
        <v>344</v>
      </c>
      <c r="C155" s="17" t="str">
        <f>HYPERLINK("https://ra-matina.ru/?vendor_code=um_306")</f>
        <v>https://ra-matina.ru/?vendor_code=um_306</v>
      </c>
      <c r="D155" s="18" t="s">
        <v>35</v>
      </c>
      <c r="E155" s="19" t="s">
        <v>14</v>
      </c>
      <c r="F155" s="18" t="s">
        <v>15</v>
      </c>
      <c r="G155" s="20" t="s">
        <v>100</v>
      </c>
    </row>
    <row r="156" ht="13.5" customHeight="1">
      <c r="A156" s="15" t="s">
        <v>345</v>
      </c>
      <c r="B156" s="16" t="s">
        <v>346</v>
      </c>
      <c r="C156" s="17" t="str">
        <f>HYPERLINK("https://ra-matina.ru/?vendor_code=KRD151A1GGBB")</f>
        <v>https://ra-matina.ru/?vendor_code=KRD151A1GGBB</v>
      </c>
      <c r="D156" s="18" t="s">
        <v>28</v>
      </c>
      <c r="E156" s="22" t="s">
        <v>22</v>
      </c>
      <c r="F156" s="18" t="s">
        <v>15</v>
      </c>
      <c r="G156" s="20" t="s">
        <v>347</v>
      </c>
    </row>
    <row r="157" ht="13.5" customHeight="1">
      <c r="A157" s="15" t="s">
        <v>348</v>
      </c>
      <c r="B157" s="16" t="s">
        <v>346</v>
      </c>
      <c r="C157" s="17" t="str">
        <f>HYPERLINK("https://ra-matina.ru/?vendor_code=KRD151B1GGBB")</f>
        <v>https://ra-matina.ru/?vendor_code=KRD151B1GGBB</v>
      </c>
      <c r="D157" s="18" t="s">
        <v>21</v>
      </c>
      <c r="E157" s="22" t="s">
        <v>22</v>
      </c>
      <c r="F157" s="18" t="s">
        <v>15</v>
      </c>
      <c r="G157" s="20" t="s">
        <v>347</v>
      </c>
    </row>
    <row r="158" ht="13.5" customHeight="1">
      <c r="A158" s="15" t="s">
        <v>349</v>
      </c>
      <c r="B158" s="16" t="s">
        <v>350</v>
      </c>
      <c r="C158" s="17" t="str">
        <f>HYPERLINK("https://ra-matina.ru/?vendor_code=KrbilN041А2")</f>
        <v>https://ra-matina.ru/?vendor_code=KrbilN041А2</v>
      </c>
      <c r="D158" s="15" t="s">
        <v>13</v>
      </c>
      <c r="E158" s="19" t="s">
        <v>14</v>
      </c>
      <c r="F158" s="15" t="s">
        <v>15</v>
      </c>
      <c r="G158" s="21">
        <v>30000.0</v>
      </c>
    </row>
    <row r="159" ht="13.5" customHeight="1">
      <c r="A159" s="15" t="s">
        <v>351</v>
      </c>
      <c r="B159" s="16" t="s">
        <v>352</v>
      </c>
      <c r="C159" s="17" t="str">
        <f>HYPERLINK("https://ra-matina.ru/?vendor_code=KrbilN040Б")</f>
        <v>https://ra-matina.ru/?vendor_code=KrbilN040Б</v>
      </c>
      <c r="D159" s="15" t="s">
        <v>21</v>
      </c>
      <c r="E159" s="19" t="s">
        <v>22</v>
      </c>
      <c r="F159" s="15" t="s">
        <v>15</v>
      </c>
      <c r="G159" s="21">
        <v>28400.0</v>
      </c>
    </row>
    <row r="160" ht="13.5" customHeight="1">
      <c r="A160" s="15" t="s">
        <v>353</v>
      </c>
      <c r="B160" s="16" t="s">
        <v>354</v>
      </c>
      <c r="C160" s="17" t="str">
        <f>HYPERLINK("https://ra-matina.ru/?vendor_code=KrbilN039А3")</f>
        <v>https://ra-matina.ru/?vendor_code=KrbilN039А3</v>
      </c>
      <c r="D160" s="15" t="s">
        <v>28</v>
      </c>
      <c r="E160" s="19" t="s">
        <v>22</v>
      </c>
      <c r="F160" s="15" t="s">
        <v>40</v>
      </c>
      <c r="G160" s="21">
        <v>35000.0</v>
      </c>
    </row>
    <row r="161" ht="13.5" customHeight="1">
      <c r="A161" s="15" t="s">
        <v>355</v>
      </c>
      <c r="B161" s="16" t="s">
        <v>356</v>
      </c>
      <c r="C161" s="17" t="str">
        <f>HYPERLINK("https://ra-matina.ru/?vendor_code=К011")</f>
        <v>https://ra-matina.ru/?vendor_code=К011</v>
      </c>
      <c r="D161" s="23" t="s">
        <v>28</v>
      </c>
      <c r="E161" s="22" t="s">
        <v>22</v>
      </c>
      <c r="F161" s="18" t="s">
        <v>15</v>
      </c>
      <c r="G161" s="20" t="s">
        <v>56</v>
      </c>
    </row>
    <row r="162" ht="13.5" customHeight="1">
      <c r="A162" s="15" t="s">
        <v>357</v>
      </c>
      <c r="B162" s="16" t="s">
        <v>358</v>
      </c>
      <c r="C162" s="17" t="str">
        <f>HYPERLINK("https://ra-matina.ru/?vendor_code=К012")</f>
        <v>https://ra-matina.ru/?vendor_code=К012</v>
      </c>
      <c r="D162" s="23" t="s">
        <v>21</v>
      </c>
      <c r="E162" s="22" t="s">
        <v>22</v>
      </c>
      <c r="F162" s="18" t="s">
        <v>15</v>
      </c>
      <c r="G162" s="20" t="s">
        <v>59</v>
      </c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ht="13.5" customHeight="1">
      <c r="A163" s="15" t="s">
        <v>359</v>
      </c>
      <c r="B163" s="16" t="s">
        <v>360</v>
      </c>
      <c r="C163" s="17" t="str">
        <f>HYPERLINK("https://ra-matina.ru/?vendor_code=KRD033A3OGBB")</f>
        <v>https://ra-matina.ru/?vendor_code=KRD033A3OGBB</v>
      </c>
      <c r="D163" s="18" t="s">
        <v>18</v>
      </c>
      <c r="E163" s="19" t="s">
        <v>14</v>
      </c>
      <c r="F163" s="18" t="s">
        <v>15</v>
      </c>
      <c r="G163" s="20" t="s">
        <v>150</v>
      </c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ht="13.5" customHeight="1">
      <c r="A164" s="15" t="s">
        <v>361</v>
      </c>
      <c r="B164" s="16" t="s">
        <v>360</v>
      </c>
      <c r="C164" s="17" t="str">
        <f>HYPERLINK("https://ra-matina.ru/?vendor_code=KRD033B2OGBB")</f>
        <v>https://ra-matina.ru/?vendor_code=KRD033B2OGBB</v>
      </c>
      <c r="D164" s="18" t="s">
        <v>302</v>
      </c>
      <c r="E164" s="19" t="s">
        <v>14</v>
      </c>
      <c r="F164" s="18" t="s">
        <v>15</v>
      </c>
      <c r="G164" s="20" t="s">
        <v>121</v>
      </c>
    </row>
    <row r="165" ht="13.5" customHeight="1">
      <c r="A165" s="15" t="s">
        <v>362</v>
      </c>
      <c r="B165" s="16" t="s">
        <v>363</v>
      </c>
      <c r="C165" s="17" t="str">
        <f>HYPERLINK("https://ra-matina.ru/?vendor_code=KrbilN042Б")</f>
        <v>https://ra-matina.ru/?vendor_code=KrbilN042Б</v>
      </c>
      <c r="D165" s="15" t="s">
        <v>21</v>
      </c>
      <c r="E165" s="19" t="s">
        <v>22</v>
      </c>
      <c r="F165" s="15" t="s">
        <v>40</v>
      </c>
      <c r="G165" s="21">
        <v>29000.0</v>
      </c>
    </row>
    <row r="166" ht="13.5" customHeight="1">
      <c r="A166" s="15" t="s">
        <v>364</v>
      </c>
      <c r="B166" s="16" t="s">
        <v>365</v>
      </c>
      <c r="C166" s="17" t="str">
        <f>HYPERLINK("https://ra-matina.ru/?vendor_code=KrbilN046А")</f>
        <v>https://ra-matina.ru/?vendor_code=KrbilN046А</v>
      </c>
      <c r="D166" s="15" t="s">
        <v>28</v>
      </c>
      <c r="E166" s="19" t="s">
        <v>22</v>
      </c>
      <c r="F166" s="15" t="s">
        <v>40</v>
      </c>
      <c r="G166" s="21">
        <v>29200.0</v>
      </c>
    </row>
    <row r="167" ht="13.5" customHeight="1">
      <c r="A167" s="15" t="s">
        <v>366</v>
      </c>
      <c r="B167" s="16" t="s">
        <v>367</v>
      </c>
      <c r="C167" s="17" t="str">
        <f>HYPERLINK("https://ra-matina.ru/?vendor_code=KRD154A1GGBB")</f>
        <v>https://ra-matina.ru/?vendor_code=KRD154A1GGBB</v>
      </c>
      <c r="D167" s="18" t="s">
        <v>43</v>
      </c>
      <c r="E167" s="19" t="s">
        <v>14</v>
      </c>
      <c r="F167" s="18" t="s">
        <v>15</v>
      </c>
      <c r="G167" s="20" t="s">
        <v>320</v>
      </c>
    </row>
    <row r="168" ht="13.5" customHeight="1">
      <c r="A168" s="15" t="s">
        <v>368</v>
      </c>
      <c r="B168" s="16" t="s">
        <v>369</v>
      </c>
      <c r="C168" s="17" t="str">
        <f>HYPERLINK("https://ra-matina.ru/?vendor_code=KrbilN048Б")</f>
        <v>https://ra-matina.ru/?vendor_code=KrbilN048Б</v>
      </c>
      <c r="D168" s="15" t="s">
        <v>21</v>
      </c>
      <c r="E168" s="19" t="s">
        <v>22</v>
      </c>
      <c r="F168" s="15" t="s">
        <v>40</v>
      </c>
      <c r="G168" s="21">
        <v>28400.0</v>
      </c>
    </row>
    <row r="169" ht="13.5" customHeight="1">
      <c r="A169" s="15" t="s">
        <v>370</v>
      </c>
      <c r="B169" s="16" t="s">
        <v>371</v>
      </c>
      <c r="C169" s="17" t="str">
        <f>HYPERLINK("https://ra-matina.ru/?vendor_code=KrbilN047А")</f>
        <v>https://ra-matina.ru/?vendor_code=KrbilN047А</v>
      </c>
      <c r="D169" s="15" t="s">
        <v>28</v>
      </c>
      <c r="E169" s="19" t="s">
        <v>22</v>
      </c>
      <c r="F169" s="15" t="s">
        <v>40</v>
      </c>
      <c r="G169" s="25" t="s">
        <v>372</v>
      </c>
    </row>
    <row r="170" ht="13.5" customHeight="1">
      <c r="A170" s="15" t="s">
        <v>373</v>
      </c>
      <c r="B170" s="16" t="s">
        <v>374</v>
      </c>
      <c r="C170" s="17" t="str">
        <f>HYPERLINK("https://ra-matina.ru/?vendor_code=KrbilN048А")</f>
        <v>https://ra-matina.ru/?vendor_code=KrbilN048А</v>
      </c>
      <c r="D170" s="15" t="s">
        <v>28</v>
      </c>
      <c r="E170" s="19" t="s">
        <v>22</v>
      </c>
      <c r="F170" s="15" t="s">
        <v>15</v>
      </c>
      <c r="G170" s="25" t="s">
        <v>375</v>
      </c>
    </row>
    <row r="171" ht="13.5" customHeight="1">
      <c r="A171" s="27" t="s">
        <v>376</v>
      </c>
      <c r="B171" s="28" t="s">
        <v>377</v>
      </c>
      <c r="C171" s="32" t="s">
        <v>378</v>
      </c>
      <c r="D171" s="27" t="s">
        <v>28</v>
      </c>
      <c r="E171" s="33" t="s">
        <v>22</v>
      </c>
      <c r="F171" s="27" t="s">
        <v>15</v>
      </c>
      <c r="G171" s="25" t="s">
        <v>375</v>
      </c>
    </row>
    <row r="172" ht="13.5" customHeight="1">
      <c r="A172" s="15" t="s">
        <v>379</v>
      </c>
      <c r="B172" s="16" t="s">
        <v>380</v>
      </c>
      <c r="C172" s="17" t="str">
        <f>HYPERLINK("https://ra-matina.ru/?vendor_code=KrbilN044А")</f>
        <v>https://ra-matina.ru/?vendor_code=KrbilN044А</v>
      </c>
      <c r="D172" s="15" t="s">
        <v>28</v>
      </c>
      <c r="E172" s="19" t="s">
        <v>22</v>
      </c>
      <c r="F172" s="15" t="s">
        <v>40</v>
      </c>
      <c r="G172" s="21">
        <v>25000.0</v>
      </c>
    </row>
    <row r="173" ht="13.5" customHeight="1">
      <c r="A173" s="15" t="s">
        <v>381</v>
      </c>
      <c r="B173" s="16" t="s">
        <v>382</v>
      </c>
      <c r="C173" s="17" t="str">
        <f>HYPERLINK("https://ra-matina.ru/?vendor_code=art_200")</f>
        <v>https://ra-matina.ru/?vendor_code=art_200</v>
      </c>
      <c r="D173" s="18" t="s">
        <v>18</v>
      </c>
      <c r="E173" s="19" t="s">
        <v>14</v>
      </c>
      <c r="F173" s="18" t="s">
        <v>15</v>
      </c>
      <c r="G173" s="20" t="s">
        <v>16</v>
      </c>
    </row>
    <row r="174" ht="13.5" customHeight="1">
      <c r="A174" s="15" t="s">
        <v>383</v>
      </c>
      <c r="B174" s="16" t="s">
        <v>384</v>
      </c>
      <c r="C174" s="17" t="str">
        <f>HYPERLINK("https://ra-matina.ru/?vendor_code=KrbilN043А")</f>
        <v>https://ra-matina.ru/?vendor_code=KrbilN043А</v>
      </c>
      <c r="D174" s="15" t="s">
        <v>28</v>
      </c>
      <c r="E174" s="19" t="s">
        <v>22</v>
      </c>
      <c r="F174" s="15" t="s">
        <v>40</v>
      </c>
      <c r="G174" s="21">
        <v>25000.0</v>
      </c>
    </row>
    <row r="175" ht="13.5" customHeight="1">
      <c r="A175" s="15" t="s">
        <v>385</v>
      </c>
      <c r="B175" s="16" t="s">
        <v>386</v>
      </c>
      <c r="C175" s="17" t="str">
        <f>HYPERLINK("https://ra-matina.ru/?vendor_code=KrbilN045А")</f>
        <v>https://ra-matina.ru/?vendor_code=KrbilN045А</v>
      </c>
      <c r="D175" s="15" t="s">
        <v>28</v>
      </c>
      <c r="E175" s="19" t="s">
        <v>22</v>
      </c>
      <c r="F175" s="15" t="s">
        <v>40</v>
      </c>
      <c r="G175" s="21">
        <v>25000.0</v>
      </c>
    </row>
    <row r="176" ht="13.5" customHeight="1">
      <c r="A176" s="15" t="s">
        <v>387</v>
      </c>
      <c r="B176" s="16" t="s">
        <v>388</v>
      </c>
      <c r="C176" s="17" t="str">
        <f>HYPERLINK("https://ra-matina.ru/?vendor_code=К017")</f>
        <v>https://ra-matina.ru/?vendor_code=К017</v>
      </c>
      <c r="D176" s="23" t="s">
        <v>28</v>
      </c>
      <c r="E176" s="22" t="s">
        <v>22</v>
      </c>
      <c r="F176" s="18" t="s">
        <v>15</v>
      </c>
      <c r="G176" s="20" t="s">
        <v>56</v>
      </c>
    </row>
    <row r="177" ht="13.5" customHeight="1">
      <c r="A177" s="15" t="s">
        <v>389</v>
      </c>
      <c r="B177" s="16" t="s">
        <v>390</v>
      </c>
      <c r="C177" s="17" t="str">
        <f>HYPERLINK("https://ra-matina.ru/?vendor_code=К018")</f>
        <v>https://ra-matina.ru/?vendor_code=К018</v>
      </c>
      <c r="D177" s="23" t="s">
        <v>21</v>
      </c>
      <c r="E177" s="22" t="s">
        <v>22</v>
      </c>
      <c r="F177" s="18" t="s">
        <v>15</v>
      </c>
      <c r="G177" s="20" t="s">
        <v>59</v>
      </c>
    </row>
    <row r="178" ht="13.5" customHeight="1">
      <c r="A178" s="15" t="s">
        <v>391</v>
      </c>
      <c r="B178" s="16" t="s">
        <v>392</v>
      </c>
      <c r="C178" s="17" t="str">
        <f>HYPERLINK("https://ra-matina.ru/?vendor_code=art_694")</f>
        <v>https://ra-matina.ru/?vendor_code=art_694</v>
      </c>
      <c r="D178" s="18" t="s">
        <v>21</v>
      </c>
      <c r="E178" s="22" t="s">
        <v>22</v>
      </c>
      <c r="F178" s="18" t="s">
        <v>15</v>
      </c>
      <c r="G178" s="20" t="s">
        <v>393</v>
      </c>
    </row>
    <row r="179" ht="13.5" customHeight="1">
      <c r="A179" s="15" t="s">
        <v>394</v>
      </c>
      <c r="B179" s="28" t="s">
        <v>395</v>
      </c>
      <c r="C179" s="17" t="str">
        <f>HYPERLINK("https://ra-matina.ru/?vendor_code=pa_051")</f>
        <v>https://ra-matina.ru/?vendor_code=pa_051</v>
      </c>
      <c r="D179" s="18" t="s">
        <v>21</v>
      </c>
      <c r="E179" s="22" t="s">
        <v>22</v>
      </c>
      <c r="F179" s="18" t="s">
        <v>15</v>
      </c>
      <c r="G179" s="20" t="s">
        <v>393</v>
      </c>
    </row>
    <row r="180" ht="13.5" customHeight="1">
      <c r="A180" s="15" t="s">
        <v>396</v>
      </c>
      <c r="B180" s="28" t="s">
        <v>397</v>
      </c>
      <c r="C180" s="17" t="str">
        <f>HYPERLINK("https://ra-matina.ru/?vendor_code=art_708")</f>
        <v>https://ra-matina.ru/?vendor_code=art_708</v>
      </c>
      <c r="D180" s="18" t="s">
        <v>21</v>
      </c>
      <c r="E180" s="22" t="s">
        <v>22</v>
      </c>
      <c r="F180" s="18" t="s">
        <v>15</v>
      </c>
      <c r="G180" s="20" t="s">
        <v>393</v>
      </c>
    </row>
    <row r="181" ht="13.5" customHeight="1">
      <c r="A181" s="15" t="s">
        <v>398</v>
      </c>
      <c r="B181" s="28" t="s">
        <v>399</v>
      </c>
      <c r="C181" s="17" t="str">
        <f>HYPERLINK("https://ra-matina.ru/?vendor_code=art_403")</f>
        <v>https://ra-matina.ru/?vendor_code=art_403</v>
      </c>
      <c r="D181" s="18" t="s">
        <v>21</v>
      </c>
      <c r="E181" s="22" t="s">
        <v>22</v>
      </c>
      <c r="F181" s="18" t="s">
        <v>15</v>
      </c>
      <c r="G181" s="20" t="s">
        <v>393</v>
      </c>
    </row>
    <row r="182" ht="13.5" customHeight="1">
      <c r="A182" s="15" t="s">
        <v>400</v>
      </c>
      <c r="B182" s="28" t="s">
        <v>401</v>
      </c>
      <c r="C182" s="17" t="str">
        <f>HYPERLINK("https://ra-matina.ru/?vendor_code=KrbilN049А")</f>
        <v>https://ra-matina.ru/?vendor_code=KrbilN049А</v>
      </c>
      <c r="D182" s="15" t="s">
        <v>28</v>
      </c>
      <c r="E182" s="19" t="s">
        <v>22</v>
      </c>
      <c r="F182" s="15" t="s">
        <v>15</v>
      </c>
      <c r="G182" s="21">
        <v>32500.0</v>
      </c>
    </row>
    <row r="183" ht="13.5" customHeight="1">
      <c r="A183" s="15" t="s">
        <v>402</v>
      </c>
      <c r="B183" s="28" t="s">
        <v>403</v>
      </c>
      <c r="C183" s="17" t="str">
        <f>HYPERLINK("https://ra-matina.ru/?vendor_code=KrbilN049А1")</f>
        <v>https://ra-matina.ru/?vendor_code=KrbilN049А1</v>
      </c>
      <c r="D183" s="15" t="s">
        <v>28</v>
      </c>
      <c r="E183" s="19" t="s">
        <v>22</v>
      </c>
      <c r="F183" s="15" t="s">
        <v>15</v>
      </c>
      <c r="G183" s="21">
        <v>31900.0</v>
      </c>
    </row>
    <row r="184" ht="13.5" customHeight="1">
      <c r="A184" s="15" t="s">
        <v>404</v>
      </c>
      <c r="B184" s="28" t="s">
        <v>405</v>
      </c>
      <c r="C184" s="17" t="str">
        <f>HYPERLINK("https://ra-matina.ru/?vendor_code=art_405")</f>
        <v>https://ra-matina.ru/?vendor_code=art_405</v>
      </c>
      <c r="D184" s="18" t="s">
        <v>21</v>
      </c>
      <c r="E184" s="22" t="s">
        <v>22</v>
      </c>
      <c r="F184" s="18" t="s">
        <v>15</v>
      </c>
      <c r="G184" s="20" t="s">
        <v>393</v>
      </c>
    </row>
    <row r="185" ht="13.5" customHeight="1">
      <c r="A185" s="15" t="s">
        <v>406</v>
      </c>
      <c r="B185" s="16" t="s">
        <v>407</v>
      </c>
      <c r="C185" s="17" t="str">
        <f>HYPERLINK("https://ra-matina.ru/?vendor_code=KrbilN050А")</f>
        <v>https://ra-matina.ru/?vendor_code=KrbilN050А</v>
      </c>
      <c r="D185" s="15" t="s">
        <v>28</v>
      </c>
      <c r="E185" s="19" t="s">
        <v>22</v>
      </c>
      <c r="F185" s="15" t="s">
        <v>15</v>
      </c>
      <c r="G185" s="21">
        <v>31900.0</v>
      </c>
    </row>
    <row r="186" ht="13.5" customHeight="1">
      <c r="A186" s="15" t="s">
        <v>408</v>
      </c>
      <c r="B186" s="16" t="s">
        <v>409</v>
      </c>
      <c r="C186" s="17" t="str">
        <f>HYPERLINK("https://ra-matina.ru/?vendor_code=KrbilN051А")</f>
        <v>https://ra-matina.ru/?vendor_code=KrbilN051А</v>
      </c>
      <c r="D186" s="15" t="s">
        <v>28</v>
      </c>
      <c r="E186" s="19" t="s">
        <v>22</v>
      </c>
      <c r="F186" s="15" t="s">
        <v>40</v>
      </c>
      <c r="G186" s="21">
        <v>32500.0</v>
      </c>
    </row>
    <row r="187" ht="13.5" customHeight="1">
      <c r="A187" s="15" t="s">
        <v>410</v>
      </c>
      <c r="B187" s="28" t="s">
        <v>411</v>
      </c>
      <c r="C187" s="17" t="str">
        <f>HYPERLINK("https://ra-matina.ru/?vendor_code=KrbilN052А")</f>
        <v>https://ra-matina.ru/?vendor_code=KrbilN052А</v>
      </c>
      <c r="D187" s="15" t="s">
        <v>28</v>
      </c>
      <c r="E187" s="19" t="s">
        <v>22</v>
      </c>
      <c r="F187" s="15" t="s">
        <v>40</v>
      </c>
      <c r="G187" s="21">
        <v>30000.0</v>
      </c>
    </row>
    <row r="188" ht="13.5" customHeight="1">
      <c r="A188" s="15" t="s">
        <v>412</v>
      </c>
      <c r="B188" s="28" t="s">
        <v>413</v>
      </c>
      <c r="C188" s="17" t="str">
        <f>HYPERLINK("https://ra-matina.ru/?vendor_code=KRD174A1GGBB")</f>
        <v>https://ra-matina.ru/?vendor_code=KRD174A1GGBB</v>
      </c>
      <c r="D188" s="18" t="s">
        <v>28</v>
      </c>
      <c r="E188" s="22" t="s">
        <v>22</v>
      </c>
      <c r="F188" s="18" t="s">
        <v>15</v>
      </c>
      <c r="G188" s="20" t="s">
        <v>150</v>
      </c>
    </row>
    <row r="189" ht="13.5" customHeight="1">
      <c r="A189" s="15" t="s">
        <v>414</v>
      </c>
      <c r="B189" s="28" t="s">
        <v>415</v>
      </c>
      <c r="C189" s="17" t="str">
        <f>HYPERLINK("https://ra-matina.ru/?vendor_code=KrbilN050А0")</f>
        <v>https://ra-matina.ru/?vendor_code=KrbilN050А0</v>
      </c>
      <c r="D189" s="15" t="s">
        <v>28</v>
      </c>
      <c r="E189" s="19" t="s">
        <v>22</v>
      </c>
      <c r="F189" s="15" t="s">
        <v>15</v>
      </c>
      <c r="G189" s="21">
        <v>40100.0</v>
      </c>
    </row>
    <row r="190" ht="13.5" customHeight="1">
      <c r="A190" s="15" t="s">
        <v>416</v>
      </c>
      <c r="B190" s="28" t="s">
        <v>417</v>
      </c>
      <c r="C190" s="17" t="str">
        <f>HYPERLINK("https://ra-matina.ru/?vendor_code=KRD044B1OGBB")</f>
        <v>https://ra-matina.ru/?vendor_code=KRD044B1OGBB</v>
      </c>
      <c r="D190" s="18" t="s">
        <v>21</v>
      </c>
      <c r="E190" s="22" t="s">
        <v>22</v>
      </c>
      <c r="F190" s="18" t="s">
        <v>15</v>
      </c>
      <c r="G190" s="20" t="s">
        <v>347</v>
      </c>
    </row>
    <row r="191" ht="13.5" customHeight="1">
      <c r="A191" s="15" t="s">
        <v>418</v>
      </c>
      <c r="B191" s="28" t="s">
        <v>419</v>
      </c>
      <c r="C191" s="17" t="str">
        <f>HYPERLINK("https://ra-matina.ru/?vendor_code=KRD045A2OGBB")</f>
        <v>https://ra-matina.ru/?vendor_code=KRD045A2OGBB</v>
      </c>
      <c r="D191" s="18" t="s">
        <v>13</v>
      </c>
      <c r="E191" s="19" t="s">
        <v>14</v>
      </c>
      <c r="F191" s="18" t="s">
        <v>15</v>
      </c>
      <c r="G191" s="20" t="s">
        <v>150</v>
      </c>
    </row>
    <row r="192" ht="13.5" customHeight="1">
      <c r="A192" s="27" t="s">
        <v>420</v>
      </c>
      <c r="B192" s="28" t="s">
        <v>421</v>
      </c>
      <c r="C192" s="29" t="s">
        <v>422</v>
      </c>
      <c r="D192" s="34" t="s">
        <v>423</v>
      </c>
      <c r="E192" s="22" t="s">
        <v>22</v>
      </c>
      <c r="F192" s="18" t="s">
        <v>15</v>
      </c>
      <c r="G192" s="35" t="s">
        <v>424</v>
      </c>
    </row>
    <row r="193" ht="13.5" customHeight="1">
      <c r="A193" s="15" t="s">
        <v>425</v>
      </c>
      <c r="B193" s="28" t="s">
        <v>421</v>
      </c>
      <c r="C193" s="17" t="str">
        <f>HYPERLINK("https://ra-matina.ru/?vendor_code=KRD178B1GGBB")</f>
        <v>https://ra-matina.ru/?vendor_code=KRD178B1GGBB</v>
      </c>
      <c r="D193" s="18" t="s">
        <v>21</v>
      </c>
      <c r="E193" s="22" t="s">
        <v>22</v>
      </c>
      <c r="F193" s="18" t="s">
        <v>15</v>
      </c>
      <c r="G193" s="35" t="s">
        <v>426</v>
      </c>
    </row>
    <row r="194" ht="13.5" customHeight="1">
      <c r="A194" s="15" t="s">
        <v>427</v>
      </c>
      <c r="B194" s="16" t="s">
        <v>428</v>
      </c>
      <c r="C194" s="17" t="str">
        <f>HYPERLINK("https://ra-matina.ru/?vendor_code=art_714")</f>
        <v>https://ra-matina.ru/?vendor_code=art_714</v>
      </c>
      <c r="D194" s="18" t="s">
        <v>21</v>
      </c>
      <c r="E194" s="22" t="s">
        <v>22</v>
      </c>
      <c r="F194" s="18" t="s">
        <v>15</v>
      </c>
      <c r="G194" s="20" t="s">
        <v>393</v>
      </c>
    </row>
    <row r="195" ht="13.5" customHeight="1">
      <c r="A195" s="27" t="s">
        <v>429</v>
      </c>
      <c r="B195" s="28" t="s">
        <v>430</v>
      </c>
      <c r="C195" s="29" t="s">
        <v>431</v>
      </c>
      <c r="D195" s="34" t="s">
        <v>28</v>
      </c>
      <c r="E195" s="36" t="s">
        <v>22</v>
      </c>
      <c r="F195" s="34" t="s">
        <v>15</v>
      </c>
      <c r="G195" s="35" t="s">
        <v>424</v>
      </c>
    </row>
    <row r="196" ht="13.5" customHeight="1">
      <c r="A196" s="15" t="s">
        <v>432</v>
      </c>
      <c r="B196" s="28" t="s">
        <v>433</v>
      </c>
      <c r="C196" s="17" t="str">
        <f>HYPERLINK("https://ra-matina.ru/?vendor_code=UM_074")</f>
        <v>https://ra-matina.ru/?vendor_code=UM_074</v>
      </c>
      <c r="D196" s="18" t="s">
        <v>21</v>
      </c>
      <c r="E196" s="22" t="s">
        <v>22</v>
      </c>
      <c r="F196" s="18" t="s">
        <v>15</v>
      </c>
      <c r="G196" s="20" t="s">
        <v>393</v>
      </c>
    </row>
    <row r="197" ht="13.5" customHeight="1">
      <c r="A197" s="15" t="s">
        <v>434</v>
      </c>
      <c r="B197" s="16" t="s">
        <v>435</v>
      </c>
      <c r="C197" s="24" t="s">
        <v>436</v>
      </c>
      <c r="D197" s="18" t="s">
        <v>21</v>
      </c>
      <c r="E197" s="22" t="s">
        <v>22</v>
      </c>
      <c r="F197" s="18" t="s">
        <v>15</v>
      </c>
      <c r="G197" s="20" t="s">
        <v>93</v>
      </c>
    </row>
    <row r="198" ht="13.5" customHeight="1">
      <c r="A198" s="15" t="s">
        <v>437</v>
      </c>
      <c r="B198" s="16" t="s">
        <v>438</v>
      </c>
      <c r="C198" s="17" t="str">
        <f>HYPERLINK("https://ra-matina.ru/?vendor_code=KRD060A3GGBB")</f>
        <v>https://ra-matina.ru/?vendor_code=KRD060A3GGBB</v>
      </c>
      <c r="D198" s="18" t="s">
        <v>18</v>
      </c>
      <c r="E198" s="19" t="s">
        <v>14</v>
      </c>
      <c r="F198" s="18" t="s">
        <v>15</v>
      </c>
      <c r="G198" s="20" t="s">
        <v>320</v>
      </c>
    </row>
    <row r="199" ht="13.5" customHeight="1">
      <c r="A199" s="15" t="s">
        <v>439</v>
      </c>
      <c r="B199" s="16" t="s">
        <v>440</v>
      </c>
      <c r="C199" s="17" t="str">
        <f>HYPERLINK("https://ra-matina.ru/?vendor_code=KRD056A2GGBB")</f>
        <v>https://ra-matina.ru/?vendor_code=KRD056A2GGBB</v>
      </c>
      <c r="D199" s="18" t="s">
        <v>13</v>
      </c>
      <c r="E199" s="19" t="s">
        <v>14</v>
      </c>
      <c r="F199" s="18" t="s">
        <v>15</v>
      </c>
      <c r="G199" s="20" t="s">
        <v>320</v>
      </c>
    </row>
    <row r="200" ht="13.5" customHeight="1">
      <c r="A200" s="15" t="s">
        <v>441</v>
      </c>
      <c r="B200" s="16" t="s">
        <v>440</v>
      </c>
      <c r="C200" s="17" t="str">
        <f>HYPERLINK("https://ra-matina.ru/?vendor_code=KRD056B2GGBB")</f>
        <v>https://ra-matina.ru/?vendor_code=KRD056B2GGBB</v>
      </c>
      <c r="D200" s="18" t="s">
        <v>302</v>
      </c>
      <c r="E200" s="19" t="s">
        <v>14</v>
      </c>
      <c r="F200" s="18" t="s">
        <v>15</v>
      </c>
      <c r="G200" s="20" t="s">
        <v>124</v>
      </c>
    </row>
    <row r="201" ht="13.5" customHeight="1">
      <c r="A201" s="15" t="s">
        <v>442</v>
      </c>
      <c r="B201" s="16" t="s">
        <v>443</v>
      </c>
      <c r="C201" s="17" t="str">
        <f>HYPERLINK("https://ra-matina.ru/?vendor_code=UM_255")</f>
        <v>https://ra-matina.ru/?vendor_code=UM_255</v>
      </c>
      <c r="D201" s="18" t="s">
        <v>35</v>
      </c>
      <c r="E201" s="19" t="s">
        <v>14</v>
      </c>
      <c r="F201" s="18" t="s">
        <v>15</v>
      </c>
      <c r="G201" s="20" t="s">
        <v>444</v>
      </c>
    </row>
    <row r="202" ht="13.5" customHeight="1">
      <c r="A202" s="15" t="s">
        <v>445</v>
      </c>
      <c r="B202" s="16" t="s">
        <v>446</v>
      </c>
      <c r="C202" s="17" t="str">
        <f>HYPERLINK("https://ra-matina.ru/?vendor_code=UM_083")</f>
        <v>https://ra-matina.ru/?vendor_code=UM_083</v>
      </c>
      <c r="D202" s="18" t="s">
        <v>43</v>
      </c>
      <c r="E202" s="19" t="s">
        <v>14</v>
      </c>
      <c r="F202" s="18" t="s">
        <v>15</v>
      </c>
      <c r="G202" s="20" t="s">
        <v>32</v>
      </c>
    </row>
    <row r="203" ht="13.5" customHeight="1">
      <c r="A203" s="15" t="s">
        <v>447</v>
      </c>
      <c r="B203" s="16" t="s">
        <v>448</v>
      </c>
      <c r="C203" s="17" t="str">
        <f>HYPERLINK("https://ra-matina.ru/?vendor_code=KrbilN052Б1")</f>
        <v>https://ra-matina.ru/?vendor_code=KrbilN052Б1</v>
      </c>
      <c r="D203" s="15" t="s">
        <v>21</v>
      </c>
      <c r="E203" s="19" t="s">
        <v>22</v>
      </c>
      <c r="F203" s="15" t="s">
        <v>40</v>
      </c>
      <c r="G203" s="21">
        <v>27500.0</v>
      </c>
    </row>
    <row r="204" ht="13.5" customHeight="1">
      <c r="A204" s="15" t="s">
        <v>449</v>
      </c>
      <c r="B204" s="16" t="s">
        <v>450</v>
      </c>
      <c r="C204" s="17" t="str">
        <f>HYPERLINK("https://ra-matina.ru/?vendor_code=KrbilN052А1_1")</f>
        <v>https://ra-matina.ru/?vendor_code=KrbilN052А1_1</v>
      </c>
      <c r="D204" s="15" t="s">
        <v>28</v>
      </c>
      <c r="E204" s="19" t="s">
        <v>22</v>
      </c>
      <c r="F204" s="15" t="s">
        <v>40</v>
      </c>
      <c r="G204" s="21">
        <v>30000.0</v>
      </c>
    </row>
    <row r="205" ht="13.5" customHeight="1">
      <c r="A205" s="15" t="s">
        <v>451</v>
      </c>
      <c r="B205" s="16" t="s">
        <v>452</v>
      </c>
      <c r="C205" s="17" t="str">
        <f>HYPERLINK("https://ra-matina.ru/?vendor_code=KrbilN052А_1")</f>
        <v>https://ra-matina.ru/?vendor_code=KrbilN052А_1</v>
      </c>
      <c r="D205" s="15" t="s">
        <v>28</v>
      </c>
      <c r="E205" s="19" t="s">
        <v>22</v>
      </c>
      <c r="F205" s="15" t="s">
        <v>40</v>
      </c>
      <c r="G205" s="21">
        <v>32000.0</v>
      </c>
    </row>
    <row r="206" ht="13.5" customHeight="1">
      <c r="A206" s="15" t="s">
        <v>453</v>
      </c>
      <c r="B206" s="16" t="s">
        <v>454</v>
      </c>
      <c r="C206" s="17" t="str">
        <f>HYPERLINK("https://ra-matina.ru/?vendor_code=KrbilN052А0")</f>
        <v>https://ra-matina.ru/?vendor_code=KrbilN052А0</v>
      </c>
      <c r="D206" s="15" t="s">
        <v>28</v>
      </c>
      <c r="E206" s="19" t="s">
        <v>22</v>
      </c>
      <c r="F206" s="15" t="s">
        <v>40</v>
      </c>
      <c r="G206" s="21">
        <v>30000.0</v>
      </c>
    </row>
    <row r="207" ht="13.5" customHeight="1">
      <c r="A207" s="15" t="s">
        <v>455</v>
      </c>
      <c r="B207" s="16" t="s">
        <v>456</v>
      </c>
      <c r="C207" s="17" t="str">
        <f>HYPERLINK("https://ra-matina.ru/?vendor_code=art_638")</f>
        <v>https://ra-matina.ru/?vendor_code=art_638</v>
      </c>
      <c r="D207" s="18" t="s">
        <v>21</v>
      </c>
      <c r="E207" s="22" t="s">
        <v>22</v>
      </c>
      <c r="F207" s="18" t="s">
        <v>15</v>
      </c>
      <c r="G207" s="20" t="s">
        <v>156</v>
      </c>
    </row>
    <row r="208" ht="13.5" customHeight="1">
      <c r="A208" s="15" t="s">
        <v>457</v>
      </c>
      <c r="B208" s="16" t="s">
        <v>458</v>
      </c>
      <c r="C208" s="17" t="str">
        <f>HYPERLINK("https://ra-matina.ru/?vendor_code=KrbilN052Б")</f>
        <v>https://ra-matina.ru/?vendor_code=KrbilN052Б</v>
      </c>
      <c r="D208" s="15" t="s">
        <v>21</v>
      </c>
      <c r="E208" s="19" t="s">
        <v>22</v>
      </c>
      <c r="F208" s="15" t="s">
        <v>15</v>
      </c>
      <c r="G208" s="21">
        <v>32900.0</v>
      </c>
    </row>
    <row r="209" ht="13.5" customHeight="1">
      <c r="A209" s="15" t="s">
        <v>459</v>
      </c>
      <c r="B209" s="16" t="s">
        <v>460</v>
      </c>
      <c r="C209" s="17" t="str">
        <f>HYPERLINK("https://ra-matina.ru/?vendor_code=KrbilN052А1")</f>
        <v>https://ra-matina.ru/?vendor_code=KrbilN052А1</v>
      </c>
      <c r="D209" s="15" t="s">
        <v>28</v>
      </c>
      <c r="E209" s="19" t="s">
        <v>22</v>
      </c>
      <c r="F209" s="15" t="s">
        <v>15</v>
      </c>
      <c r="G209" s="21">
        <v>31200.0</v>
      </c>
    </row>
    <row r="210" ht="13.5" customHeight="1">
      <c r="A210" s="15" t="s">
        <v>461</v>
      </c>
      <c r="B210" s="16" t="s">
        <v>462</v>
      </c>
      <c r="C210" s="17" t="str">
        <f>HYPERLINK("https://ra-matina.ru/?vendor_code=pa_354")</f>
        <v>https://ra-matina.ru/?vendor_code=pa_354</v>
      </c>
      <c r="D210" s="18" t="s">
        <v>21</v>
      </c>
      <c r="E210" s="22" t="s">
        <v>22</v>
      </c>
      <c r="F210" s="37" t="s">
        <v>15</v>
      </c>
      <c r="G210" s="20" t="s">
        <v>141</v>
      </c>
    </row>
    <row r="211" ht="13.5" customHeight="1">
      <c r="A211" s="15" t="s">
        <v>463</v>
      </c>
      <c r="B211" s="16" t="s">
        <v>464</v>
      </c>
      <c r="C211" s="17" t="str">
        <f>HYPERLINK("https://ra-matina.ru/?vendor_code=KrbilN056А0")</f>
        <v>https://ra-matina.ru/?vendor_code=KrbilN056А0</v>
      </c>
      <c r="D211" s="15" t="s">
        <v>28</v>
      </c>
      <c r="E211" s="19" t="s">
        <v>22</v>
      </c>
      <c r="F211" s="15" t="s">
        <v>15</v>
      </c>
      <c r="G211" s="21">
        <v>33500.0</v>
      </c>
    </row>
    <row r="212" ht="13.5" customHeight="1">
      <c r="A212" s="15" t="s">
        <v>465</v>
      </c>
      <c r="B212" s="16" t="s">
        <v>466</v>
      </c>
      <c r="C212" s="17" t="str">
        <f>HYPERLINK("https://ra-matina.ru/?vendor_code=KrbilN057Б")</f>
        <v>https://ra-matina.ru/?vendor_code=KrbilN057Б</v>
      </c>
      <c r="D212" s="15" t="s">
        <v>21</v>
      </c>
      <c r="E212" s="19" t="s">
        <v>22</v>
      </c>
      <c r="F212" s="15" t="s">
        <v>15</v>
      </c>
      <c r="G212" s="21">
        <v>28800.0</v>
      </c>
    </row>
    <row r="213" ht="13.5" customHeight="1">
      <c r="A213" s="15" t="s">
        <v>467</v>
      </c>
      <c r="B213" s="16" t="s">
        <v>468</v>
      </c>
      <c r="C213" s="17" t="str">
        <f>HYPERLINK("https://ra-matina.ru/?vendor_code=KrbilN053Б")</f>
        <v>https://ra-matina.ru/?vendor_code=KrbilN053Б</v>
      </c>
      <c r="D213" s="15" t="s">
        <v>21</v>
      </c>
      <c r="E213" s="19" t="s">
        <v>22</v>
      </c>
      <c r="F213" s="15" t="s">
        <v>40</v>
      </c>
      <c r="G213" s="21">
        <v>28500.0</v>
      </c>
    </row>
    <row r="214" ht="13.5" customHeight="1">
      <c r="A214" s="15" t="s">
        <v>469</v>
      </c>
      <c r="B214" s="16" t="s">
        <v>470</v>
      </c>
      <c r="C214" s="17" t="str">
        <f>HYPERLINK("https://ra-matina.ru/?vendor_code=KrbilN054А")</f>
        <v>https://ra-matina.ru/?vendor_code=KrbilN054А</v>
      </c>
      <c r="D214" s="15" t="s">
        <v>28</v>
      </c>
      <c r="E214" s="19" t="s">
        <v>22</v>
      </c>
      <c r="F214" s="15" t="s">
        <v>40</v>
      </c>
      <c r="G214" s="21">
        <v>28500.0</v>
      </c>
    </row>
    <row r="215" ht="13.5" customHeight="1">
      <c r="A215" s="15" t="s">
        <v>471</v>
      </c>
      <c r="B215" s="16" t="s">
        <v>472</v>
      </c>
      <c r="C215" s="24" t="s">
        <v>473</v>
      </c>
      <c r="D215" s="15" t="s">
        <v>21</v>
      </c>
      <c r="E215" s="19" t="s">
        <v>22</v>
      </c>
      <c r="F215" s="15" t="s">
        <v>15</v>
      </c>
      <c r="G215" s="21" t="s">
        <v>141</v>
      </c>
    </row>
    <row r="216" ht="13.5" customHeight="1">
      <c r="A216" s="15" t="s">
        <v>474</v>
      </c>
      <c r="B216" s="16" t="s">
        <v>475</v>
      </c>
      <c r="C216" s="17" t="str">
        <f>HYPERLINK("https://ra-matina.ru/?vendor_code=KrbilN057Б1")</f>
        <v>https://ra-matina.ru/?vendor_code=KrbilN057Б1</v>
      </c>
      <c r="D216" s="15" t="s">
        <v>35</v>
      </c>
      <c r="E216" s="19" t="s">
        <v>14</v>
      </c>
      <c r="F216" s="15" t="s">
        <v>15</v>
      </c>
      <c r="G216" s="21">
        <v>30500.0</v>
      </c>
    </row>
    <row r="217" ht="13.5" customHeight="1">
      <c r="A217" s="15" t="s">
        <v>476</v>
      </c>
      <c r="B217" s="16" t="s">
        <v>477</v>
      </c>
      <c r="C217" s="17" t="str">
        <f>HYPERLINK("https://ra-matina.ru/?vendor_code=pa_356")</f>
        <v>https://ra-matina.ru/?vendor_code=pa_356</v>
      </c>
      <c r="D217" s="18" t="s">
        <v>43</v>
      </c>
      <c r="E217" s="19" t="s">
        <v>14</v>
      </c>
      <c r="F217" s="18" t="s">
        <v>15</v>
      </c>
      <c r="G217" s="20" t="s">
        <v>100</v>
      </c>
    </row>
    <row r="218" ht="13.5" customHeight="1">
      <c r="A218" s="15" t="s">
        <v>478</v>
      </c>
      <c r="B218" s="16" t="s">
        <v>479</v>
      </c>
      <c r="C218" s="17" t="str">
        <f>HYPERLINK("https://ra-matina.ru/?vendor_code=KrbilN055А1")</f>
        <v>https://ra-matina.ru/?vendor_code=KrbilN055А1</v>
      </c>
      <c r="D218" s="15" t="s">
        <v>21</v>
      </c>
      <c r="E218" s="19" t="s">
        <v>22</v>
      </c>
      <c r="F218" s="15" t="s">
        <v>15</v>
      </c>
      <c r="G218" s="21">
        <v>34000.0</v>
      </c>
    </row>
    <row r="219" ht="13.5" customHeight="1">
      <c r="A219" s="15" t="s">
        <v>480</v>
      </c>
      <c r="B219" s="16" t="s">
        <v>481</v>
      </c>
      <c r="C219" s="17" t="str">
        <f>HYPERLINK("https://ra-matina.ru/?vendor_code=К002")</f>
        <v>https://ra-matina.ru/?vendor_code=К002</v>
      </c>
      <c r="D219" s="18" t="s">
        <v>21</v>
      </c>
      <c r="E219" s="22" t="s">
        <v>22</v>
      </c>
      <c r="F219" s="18" t="s">
        <v>15</v>
      </c>
      <c r="G219" s="20" t="s">
        <v>132</v>
      </c>
    </row>
    <row r="220" ht="13.5" customHeight="1">
      <c r="A220" s="15" t="s">
        <v>482</v>
      </c>
      <c r="B220" s="16" t="s">
        <v>483</v>
      </c>
      <c r="C220" s="17" t="str">
        <f>HYPERLINK("https://ra-matina.ru/?vendor_code=К033")</f>
        <v>https://ra-matina.ru/?vendor_code=К033</v>
      </c>
      <c r="D220" s="23" t="s">
        <v>28</v>
      </c>
      <c r="E220" s="22" t="s">
        <v>22</v>
      </c>
      <c r="F220" s="18" t="s">
        <v>15</v>
      </c>
      <c r="G220" s="20" t="s">
        <v>132</v>
      </c>
    </row>
    <row r="221" ht="13.5" customHeight="1">
      <c r="A221" s="15" t="s">
        <v>484</v>
      </c>
      <c r="B221" s="16" t="s">
        <v>485</v>
      </c>
      <c r="C221" s="17" t="str">
        <f>HYPERLINK("https://ra-matina.ru/?vendor_code=К034")</f>
        <v>https://ra-matina.ru/?vendor_code=К034</v>
      </c>
      <c r="D221" s="23" t="s">
        <v>21</v>
      </c>
      <c r="E221" s="22" t="s">
        <v>22</v>
      </c>
      <c r="F221" s="18" t="s">
        <v>15</v>
      </c>
      <c r="G221" s="20" t="s">
        <v>132</v>
      </c>
    </row>
    <row r="222" ht="13.5" customHeight="1">
      <c r="A222" s="15" t="s">
        <v>486</v>
      </c>
      <c r="B222" s="16" t="s">
        <v>487</v>
      </c>
      <c r="C222" s="17" t="str">
        <f>HYPERLINK("https://ra-matina.ru/?vendor_code=К001")</f>
        <v>https://ra-matina.ru/?vendor_code=К001</v>
      </c>
      <c r="D222" s="18" t="s">
        <v>28</v>
      </c>
      <c r="E222" s="22" t="s">
        <v>22</v>
      </c>
      <c r="F222" s="18" t="s">
        <v>15</v>
      </c>
      <c r="G222" s="20" t="s">
        <v>56</v>
      </c>
    </row>
    <row r="223" ht="13.5" customHeight="1">
      <c r="A223" s="15" t="s">
        <v>488</v>
      </c>
      <c r="B223" s="16" t="s">
        <v>489</v>
      </c>
      <c r="C223" s="17" t="str">
        <f>HYPERLINK("https://ra-matina.ru/?vendor_code=KrbilN055А0")</f>
        <v>https://ra-matina.ru/?vendor_code=KrbilN055А0</v>
      </c>
      <c r="D223" s="15" t="s">
        <v>21</v>
      </c>
      <c r="E223" s="19" t="s">
        <v>22</v>
      </c>
      <c r="F223" s="15" t="s">
        <v>15</v>
      </c>
      <c r="G223" s="21">
        <v>32000.0</v>
      </c>
    </row>
    <row r="224" ht="13.5" customHeight="1">
      <c r="A224" s="15" t="s">
        <v>490</v>
      </c>
      <c r="B224" s="16" t="s">
        <v>491</v>
      </c>
      <c r="C224" s="17" t="str">
        <f>HYPERLINK("https://ra-matina.ru/?vendor_code=KrbilN055А3")</f>
        <v>https://ra-matina.ru/?vendor_code=KrbilN055А3</v>
      </c>
      <c r="D224" s="15" t="s">
        <v>18</v>
      </c>
      <c r="E224" s="19" t="s">
        <v>14</v>
      </c>
      <c r="F224" s="15" t="s">
        <v>15</v>
      </c>
      <c r="G224" s="21">
        <v>32000.0</v>
      </c>
    </row>
    <row r="225" ht="13.5" customHeight="1">
      <c r="A225" s="15" t="s">
        <v>492</v>
      </c>
      <c r="B225" s="16" t="s">
        <v>493</v>
      </c>
      <c r="C225" s="17" t="str">
        <f>HYPERLINK("https://ra-matina.ru/?vendor_code=KrbilN056А1")</f>
        <v>https://ra-matina.ru/?vendor_code=KrbilN056А1</v>
      </c>
      <c r="D225" s="15" t="s">
        <v>28</v>
      </c>
      <c r="E225" s="19" t="s">
        <v>22</v>
      </c>
      <c r="F225" s="15" t="s">
        <v>15</v>
      </c>
      <c r="G225" s="21">
        <v>32000.0</v>
      </c>
    </row>
    <row r="226" ht="13.5" customHeight="1">
      <c r="A226" s="15" t="s">
        <v>494</v>
      </c>
      <c r="B226" s="16" t="s">
        <v>495</v>
      </c>
      <c r="C226" s="17" t="str">
        <f>HYPERLINK("https://ra-matina.ru/?vendor_code=П019")</f>
        <v>https://ra-matina.ru/?vendor_code=П019</v>
      </c>
      <c r="D226" s="23" t="s">
        <v>28</v>
      </c>
      <c r="E226" s="22" t="s">
        <v>22</v>
      </c>
      <c r="F226" s="18" t="s">
        <v>15</v>
      </c>
      <c r="G226" s="20" t="s">
        <v>132</v>
      </c>
    </row>
    <row r="227" ht="13.5" customHeight="1">
      <c r="A227" s="15" t="s">
        <v>496</v>
      </c>
      <c r="B227" s="16" t="s">
        <v>497</v>
      </c>
      <c r="C227" s="17" t="str">
        <f>HYPERLINK("https://ra-matina.ru/?vendor_code=П020")</f>
        <v>https://ra-matina.ru/?vendor_code=П020</v>
      </c>
      <c r="D227" s="23" t="s">
        <v>21</v>
      </c>
      <c r="E227" s="22" t="s">
        <v>22</v>
      </c>
      <c r="F227" s="18" t="s">
        <v>15</v>
      </c>
      <c r="G227" s="20" t="s">
        <v>59</v>
      </c>
    </row>
    <row r="228" ht="13.5" customHeight="1">
      <c r="A228" s="15" t="s">
        <v>498</v>
      </c>
      <c r="B228" s="16" t="s">
        <v>499</v>
      </c>
      <c r="C228" s="17" t="str">
        <f>HYPERLINK("https://ra-matina.ru/?vendor_code=KrbilN059А")</f>
        <v>https://ra-matina.ru/?vendor_code=KrbilN059А</v>
      </c>
      <c r="D228" s="15" t="s">
        <v>28</v>
      </c>
      <c r="E228" s="19" t="s">
        <v>22</v>
      </c>
      <c r="F228" s="15" t="s">
        <v>15</v>
      </c>
      <c r="G228" s="21">
        <v>29200.0</v>
      </c>
    </row>
    <row r="229" ht="13.5" customHeight="1">
      <c r="A229" s="15" t="s">
        <v>500</v>
      </c>
      <c r="B229" s="16" t="s">
        <v>501</v>
      </c>
      <c r="C229" s="17" t="str">
        <f>HYPERLINK("https://ra-matina.ru/?vendor_code=KrbilN060А")</f>
        <v>https://ra-matina.ru/?vendor_code=KrbilN060А</v>
      </c>
      <c r="D229" s="15" t="s">
        <v>28</v>
      </c>
      <c r="E229" s="19" t="s">
        <v>22</v>
      </c>
      <c r="F229" s="15" t="s">
        <v>15</v>
      </c>
      <c r="G229" s="21">
        <v>28400.0</v>
      </c>
    </row>
    <row r="230" ht="13.5" customHeight="1">
      <c r="A230" s="15" t="s">
        <v>502</v>
      </c>
      <c r="B230" s="16" t="s">
        <v>503</v>
      </c>
      <c r="C230" s="17" t="str">
        <f>HYPERLINK("https://ra-matina.ru/?vendor_code=KrbilN063А1")</f>
        <v>https://ra-matina.ru/?vendor_code=KrbilN063А1</v>
      </c>
      <c r="D230" s="15" t="s">
        <v>43</v>
      </c>
      <c r="E230" s="19" t="s">
        <v>22</v>
      </c>
      <c r="F230" s="15" t="s">
        <v>40</v>
      </c>
      <c r="G230" s="21">
        <v>40000.0</v>
      </c>
    </row>
    <row r="231" ht="13.5" customHeight="1">
      <c r="A231" s="15" t="s">
        <v>504</v>
      </c>
      <c r="B231" s="16" t="s">
        <v>505</v>
      </c>
      <c r="C231" s="17" t="str">
        <f>HYPERLINK("https://ra-matina.ru/?vendor_code=KrbilN063А1_1")</f>
        <v>https://ra-matina.ru/?vendor_code=KrbilN063А1_1</v>
      </c>
      <c r="D231" s="15" t="s">
        <v>28</v>
      </c>
      <c r="E231" s="19" t="s">
        <v>22</v>
      </c>
      <c r="F231" s="15" t="s">
        <v>40</v>
      </c>
      <c r="G231" s="21">
        <v>35000.0</v>
      </c>
    </row>
    <row r="232" ht="13.5" customHeight="1">
      <c r="A232" s="15" t="s">
        <v>506</v>
      </c>
      <c r="B232" s="16" t="s">
        <v>507</v>
      </c>
      <c r="C232" s="17" t="str">
        <f>HYPERLINK("https://ra-matina.ru/?vendor_code=KrbilN063А0")</f>
        <v>https://ra-matina.ru/?vendor_code=KrbilN063А0</v>
      </c>
      <c r="D232" s="15" t="s">
        <v>28</v>
      </c>
      <c r="E232" s="19" t="s">
        <v>22</v>
      </c>
      <c r="F232" s="15" t="s">
        <v>40</v>
      </c>
      <c r="G232" s="21">
        <v>35000.0</v>
      </c>
    </row>
    <row r="233" ht="13.5" customHeight="1">
      <c r="A233" s="15" t="s">
        <v>508</v>
      </c>
      <c r="B233" s="16" t="s">
        <v>509</v>
      </c>
      <c r="C233" s="17" t="str">
        <f>HYPERLINK("https://ra-matina.ru/?vendor_code=П004")</f>
        <v>https://ra-matina.ru/?vendor_code=П004</v>
      </c>
      <c r="D233" s="23" t="s">
        <v>21</v>
      </c>
      <c r="E233" s="22" t="s">
        <v>22</v>
      </c>
      <c r="F233" s="18" t="s">
        <v>15</v>
      </c>
      <c r="G233" s="20" t="s">
        <v>59</v>
      </c>
    </row>
    <row r="234" ht="13.5" customHeight="1">
      <c r="A234" s="15" t="s">
        <v>510</v>
      </c>
      <c r="B234" s="16" t="s">
        <v>511</v>
      </c>
      <c r="C234" s="17" t="str">
        <f>HYPERLINK("https://ra-matina.ru/?vendor_code=П003")</f>
        <v>https://ra-matina.ru/?vendor_code=П003</v>
      </c>
      <c r="D234" s="23" t="s">
        <v>28</v>
      </c>
      <c r="E234" s="22" t="s">
        <v>22</v>
      </c>
      <c r="F234" s="18" t="s">
        <v>15</v>
      </c>
      <c r="G234" s="20" t="s">
        <v>132</v>
      </c>
    </row>
    <row r="235" ht="13.5" customHeight="1">
      <c r="A235" s="15" t="s">
        <v>512</v>
      </c>
      <c r="B235" s="16" t="s">
        <v>513</v>
      </c>
      <c r="C235" s="17" t="str">
        <f>HYPERLINK("https://ra-matina.ru/?vendor_code=К_033А")</f>
        <v>https://ra-matina.ru/?vendor_code=К_033А</v>
      </c>
      <c r="D235" s="18" t="s">
        <v>28</v>
      </c>
      <c r="E235" s="22" t="s">
        <v>22</v>
      </c>
      <c r="F235" s="18" t="s">
        <v>15</v>
      </c>
      <c r="G235" s="20" t="s">
        <v>220</v>
      </c>
    </row>
    <row r="236" ht="13.5" customHeight="1">
      <c r="A236" s="15" t="s">
        <v>514</v>
      </c>
      <c r="B236" s="16" t="s">
        <v>513</v>
      </c>
      <c r="C236" s="17" t="str">
        <f>HYPERLINK("https://ra-matina.ru/?vendor_code=К_033")</f>
        <v>https://ra-matina.ru/?vendor_code=К_033</v>
      </c>
      <c r="D236" s="18" t="s">
        <v>21</v>
      </c>
      <c r="E236" s="22" t="s">
        <v>22</v>
      </c>
      <c r="F236" s="18" t="s">
        <v>15</v>
      </c>
      <c r="G236" s="20" t="s">
        <v>59</v>
      </c>
    </row>
    <row r="237" ht="13.5" customHeight="1">
      <c r="A237" s="15" t="s">
        <v>515</v>
      </c>
      <c r="B237" s="16" t="s">
        <v>516</v>
      </c>
      <c r="C237" s="17" t="str">
        <f>HYPERLINK("https://ra-matina.ru/?vendor_code=KrbilN064А")</f>
        <v>https://ra-matina.ru/?vendor_code=KrbilN064А</v>
      </c>
      <c r="D237" s="15" t="s">
        <v>28</v>
      </c>
      <c r="E237" s="19" t="s">
        <v>22</v>
      </c>
      <c r="F237" s="15" t="s">
        <v>15</v>
      </c>
      <c r="G237" s="21">
        <v>29400.0</v>
      </c>
    </row>
    <row r="238" ht="13.5" customHeight="1">
      <c r="A238" s="15" t="s">
        <v>517</v>
      </c>
      <c r="B238" s="16" t="s">
        <v>518</v>
      </c>
      <c r="C238" s="17" t="str">
        <f>HYPERLINK("https://ra-matina.ru/?vendor_code=UM_155")</f>
        <v>https://ra-matina.ru/?vendor_code=UM_155</v>
      </c>
      <c r="D238" s="18" t="s">
        <v>302</v>
      </c>
      <c r="E238" s="19" t="s">
        <v>14</v>
      </c>
      <c r="F238" s="18" t="s">
        <v>15</v>
      </c>
      <c r="G238" s="20" t="s">
        <v>100</v>
      </c>
    </row>
    <row r="239" ht="13.5" customHeight="1">
      <c r="A239" s="15" t="s">
        <v>519</v>
      </c>
      <c r="B239" s="16" t="s">
        <v>520</v>
      </c>
      <c r="C239" s="17" t="str">
        <f>HYPERLINK("https://ra-matina.ru/?vendor_code=К030")</f>
        <v>https://ra-matina.ru/?vendor_code=К030</v>
      </c>
      <c r="D239" s="23" t="s">
        <v>21</v>
      </c>
      <c r="E239" s="22" t="s">
        <v>22</v>
      </c>
      <c r="F239" s="18" t="s">
        <v>15</v>
      </c>
      <c r="G239" s="20" t="s">
        <v>287</v>
      </c>
    </row>
    <row r="240" ht="13.5" customHeight="1">
      <c r="A240" s="15" t="s">
        <v>521</v>
      </c>
      <c r="B240" s="16" t="s">
        <v>522</v>
      </c>
      <c r="C240" s="17" t="str">
        <f>HYPERLINK("https://ra-matina.ru/?vendor_code=К029")</f>
        <v>https://ra-matina.ru/?vendor_code=К029</v>
      </c>
      <c r="D240" s="23" t="s">
        <v>28</v>
      </c>
      <c r="E240" s="22" t="s">
        <v>22</v>
      </c>
      <c r="F240" s="18" t="s">
        <v>15</v>
      </c>
      <c r="G240" s="20" t="s">
        <v>59</v>
      </c>
    </row>
    <row r="241" ht="13.5" customHeight="1">
      <c r="A241" s="15" t="s">
        <v>523</v>
      </c>
      <c r="B241" s="16" t="s">
        <v>524</v>
      </c>
      <c r="C241" s="17" t="str">
        <f>HYPERLINK("https://ra-matina.ru/?vendor_code=KrbilN065А")</f>
        <v>https://ra-matina.ru/?vendor_code=KrbilN065А</v>
      </c>
      <c r="D241" s="15" t="s">
        <v>28</v>
      </c>
      <c r="E241" s="19" t="s">
        <v>22</v>
      </c>
      <c r="F241" s="15" t="s">
        <v>15</v>
      </c>
      <c r="G241" s="21">
        <v>30900.0</v>
      </c>
    </row>
    <row r="242" ht="13.5" customHeight="1">
      <c r="A242" s="15" t="s">
        <v>525</v>
      </c>
      <c r="B242" s="16" t="s">
        <v>526</v>
      </c>
      <c r="C242" s="17" t="str">
        <f>HYPERLINK("https://ra-matina.ru/?vendor_code=К_018A2")</f>
        <v>https://ra-matina.ru/?vendor_code=К_018A2</v>
      </c>
      <c r="D242" s="18" t="s">
        <v>28</v>
      </c>
      <c r="E242" s="22" t="s">
        <v>22</v>
      </c>
      <c r="F242" s="18" t="s">
        <v>15</v>
      </c>
      <c r="G242" s="20" t="s">
        <v>59</v>
      </c>
    </row>
    <row r="243" ht="13.5" customHeight="1">
      <c r="A243" s="15" t="s">
        <v>527</v>
      </c>
      <c r="B243" s="16" t="s">
        <v>528</v>
      </c>
      <c r="C243" s="17" t="str">
        <f>HYPERLINK("https://ra-matina.ru/?vendor_code=К_018A1")</f>
        <v>https://ra-matina.ru/?vendor_code=К_018A1</v>
      </c>
      <c r="D243" s="18" t="s">
        <v>28</v>
      </c>
      <c r="E243" s="22" t="s">
        <v>22</v>
      </c>
      <c r="F243" s="18" t="s">
        <v>15</v>
      </c>
      <c r="G243" s="20" t="s">
        <v>220</v>
      </c>
    </row>
    <row r="244" ht="13.5" customHeight="1">
      <c r="A244" s="15" t="s">
        <v>529</v>
      </c>
      <c r="B244" s="16" t="s">
        <v>530</v>
      </c>
      <c r="C244" s="17" t="str">
        <f>HYPERLINK("https://ra-matina.ru/?vendor_code=К_022А")</f>
        <v>https://ra-matina.ru/?vendor_code=К_022А</v>
      </c>
      <c r="D244" s="18" t="s">
        <v>28</v>
      </c>
      <c r="E244" s="22" t="s">
        <v>22</v>
      </c>
      <c r="F244" s="18" t="s">
        <v>15</v>
      </c>
      <c r="G244" s="20" t="s">
        <v>59</v>
      </c>
    </row>
    <row r="245" ht="13.5" customHeight="1">
      <c r="A245" s="15" t="s">
        <v>531</v>
      </c>
      <c r="B245" s="16" t="s">
        <v>530</v>
      </c>
      <c r="C245" s="17" t="str">
        <f>HYPERLINK("https://ra-matina.ru/?vendor_code=К_022")</f>
        <v>https://ra-matina.ru/?vendor_code=К_022</v>
      </c>
      <c r="D245" s="18" t="s">
        <v>21</v>
      </c>
      <c r="E245" s="22" t="s">
        <v>22</v>
      </c>
      <c r="F245" s="18" t="s">
        <v>15</v>
      </c>
      <c r="G245" s="20" t="s">
        <v>59</v>
      </c>
    </row>
    <row r="246" ht="13.5" customHeight="1">
      <c r="A246" s="15" t="s">
        <v>532</v>
      </c>
      <c r="B246" s="16" t="s">
        <v>533</v>
      </c>
      <c r="C246" s="17" t="str">
        <f>HYPERLINK("https://ra-matina.ru/?vendor_code=KrbilN068А")</f>
        <v>https://ra-matina.ru/?vendor_code=KrbilN068А</v>
      </c>
      <c r="D246" s="15" t="s">
        <v>28</v>
      </c>
      <c r="E246" s="19" t="s">
        <v>22</v>
      </c>
      <c r="F246" s="15" t="s">
        <v>40</v>
      </c>
      <c r="G246" s="21">
        <v>32000.0</v>
      </c>
    </row>
    <row r="247" ht="13.5" customHeight="1">
      <c r="A247" s="15" t="s">
        <v>534</v>
      </c>
      <c r="B247" s="16" t="s">
        <v>533</v>
      </c>
      <c r="C247" s="17" t="str">
        <f>HYPERLINK("https://ra-matina.ru/?vendor_code=KrbilN068Б")</f>
        <v>https://ra-matina.ru/?vendor_code=KrbilN068Б</v>
      </c>
      <c r="D247" s="15" t="s">
        <v>21</v>
      </c>
      <c r="E247" s="19" t="s">
        <v>22</v>
      </c>
      <c r="F247" s="15" t="s">
        <v>40</v>
      </c>
      <c r="G247" s="21">
        <v>32000.0</v>
      </c>
    </row>
    <row r="248" ht="13.5" customHeight="1">
      <c r="A248" s="15" t="s">
        <v>535</v>
      </c>
      <c r="B248" s="16" t="s">
        <v>536</v>
      </c>
      <c r="C248" s="17" t="str">
        <f>HYPERLINK("https://ra-matina.ru/?vendor_code=KRD167B1GGBB")</f>
        <v>https://ra-matina.ru/?vendor_code=KRD167B1GGBB</v>
      </c>
      <c r="D248" s="18" t="s">
        <v>31</v>
      </c>
      <c r="E248" s="19" t="s">
        <v>14</v>
      </c>
      <c r="F248" s="18" t="s">
        <v>15</v>
      </c>
      <c r="G248" s="20" t="s">
        <v>124</v>
      </c>
    </row>
    <row r="249" ht="13.5" customHeight="1">
      <c r="A249" s="15" t="s">
        <v>537</v>
      </c>
      <c r="B249" s="16" t="s">
        <v>536</v>
      </c>
      <c r="C249" s="17" t="str">
        <f>HYPERLINK("https://ra-matina.ru/?vendor_code=KRD167A3GGBB")</f>
        <v>https://ra-matina.ru/?vendor_code=KRD167A3GGBB</v>
      </c>
      <c r="D249" s="18" t="s">
        <v>18</v>
      </c>
      <c r="E249" s="19" t="s">
        <v>14</v>
      </c>
      <c r="F249" s="18" t="s">
        <v>15</v>
      </c>
      <c r="G249" s="20" t="s">
        <v>320</v>
      </c>
    </row>
    <row r="250" ht="13.5" customHeight="1">
      <c r="A250" s="15" t="s">
        <v>538</v>
      </c>
      <c r="B250" s="16" t="s">
        <v>539</v>
      </c>
      <c r="C250" s="17" t="str">
        <f>HYPERLINK("https://ra-matina.ru/?vendor_code=KRD164B1GGBB")</f>
        <v>https://ra-matina.ru/?vendor_code=KRD164B1GGBB</v>
      </c>
      <c r="D250" s="18" t="s">
        <v>21</v>
      </c>
      <c r="E250" s="22" t="s">
        <v>22</v>
      </c>
      <c r="F250" s="18" t="s">
        <v>15</v>
      </c>
      <c r="G250" s="35" t="s">
        <v>540</v>
      </c>
    </row>
    <row r="251" ht="13.5" customHeight="1">
      <c r="A251" s="15" t="s">
        <v>541</v>
      </c>
      <c r="B251" s="16" t="s">
        <v>539</v>
      </c>
      <c r="C251" s="17" t="str">
        <f>HYPERLINK("https://ra-matina.ru/?vendor_code=KRD164A1GGBB")</f>
        <v>https://ra-matina.ru/?vendor_code=KRD164A1GGBB</v>
      </c>
      <c r="D251" s="18" t="s">
        <v>28</v>
      </c>
      <c r="E251" s="22" t="s">
        <v>22</v>
      </c>
      <c r="F251" s="18" t="s">
        <v>15</v>
      </c>
      <c r="G251" s="20" t="s">
        <v>320</v>
      </c>
    </row>
    <row r="252" ht="13.5" customHeight="1">
      <c r="A252" s="15" t="s">
        <v>542</v>
      </c>
      <c r="B252" s="16" t="s">
        <v>543</v>
      </c>
      <c r="C252" s="17" t="str">
        <f>HYPERLINK("https://ra-matina.ru/?vendor_code=KrbilN070А")</f>
        <v>https://ra-matina.ru/?vendor_code=KrbilN070А</v>
      </c>
      <c r="D252" s="15" t="s">
        <v>28</v>
      </c>
      <c r="E252" s="19" t="s">
        <v>22</v>
      </c>
      <c r="F252" s="15" t="s">
        <v>15</v>
      </c>
      <c r="G252" s="21">
        <v>44300.0</v>
      </c>
    </row>
    <row r="253" ht="13.5" customHeight="1">
      <c r="A253" s="15" t="s">
        <v>544</v>
      </c>
      <c r="B253" s="16" t="s">
        <v>545</v>
      </c>
      <c r="C253" s="17" t="str">
        <f>HYPERLINK("https://ra-matina.ru/?vendor_code=KRD037A2OGBB")</f>
        <v>https://ra-matina.ru/?vendor_code=KRD037A2OGBB</v>
      </c>
      <c r="D253" s="18" t="s">
        <v>13</v>
      </c>
      <c r="E253" s="19" t="s">
        <v>14</v>
      </c>
      <c r="F253" s="18" t="s">
        <v>15</v>
      </c>
      <c r="G253" s="20" t="s">
        <v>320</v>
      </c>
    </row>
    <row r="254" ht="13.5" customHeight="1">
      <c r="A254" s="15" t="s">
        <v>546</v>
      </c>
      <c r="B254" s="16" t="s">
        <v>547</v>
      </c>
      <c r="C254" s="17" t="str">
        <f>HYPERLINK("https://ra-matina.ru/?vendor_code=KRD165B1GGBB")</f>
        <v>https://ra-matina.ru/?vendor_code=KRD165B1GGBB</v>
      </c>
      <c r="D254" s="18" t="s">
        <v>21</v>
      </c>
      <c r="E254" s="19" t="s">
        <v>14</v>
      </c>
      <c r="F254" s="18" t="s">
        <v>15</v>
      </c>
      <c r="G254" s="20" t="s">
        <v>271</v>
      </c>
    </row>
    <row r="255" ht="13.5" customHeight="1">
      <c r="A255" s="15" t="s">
        <v>548</v>
      </c>
      <c r="B255" s="16" t="s">
        <v>549</v>
      </c>
      <c r="C255" s="17" t="str">
        <f>HYPERLINK("https://ra-matina.ru/?vendor_code=KrbilN072Б")</f>
        <v>https://ra-matina.ru/?vendor_code=KrbilN072Б</v>
      </c>
      <c r="D255" s="15" t="s">
        <v>21</v>
      </c>
      <c r="E255" s="19" t="s">
        <v>22</v>
      </c>
      <c r="F255" s="15" t="s">
        <v>40</v>
      </c>
      <c r="G255" s="21">
        <v>25000.0</v>
      </c>
    </row>
    <row r="256" ht="13.5" customHeight="1">
      <c r="A256" s="15" t="s">
        <v>550</v>
      </c>
      <c r="B256" s="16" t="s">
        <v>551</v>
      </c>
      <c r="C256" s="17" t="str">
        <f>HYPERLINK("https://ra-matina.ru/?vendor_code=KrbilN075А2")</f>
        <v>https://ra-matina.ru/?vendor_code=KrbilN075А2</v>
      </c>
      <c r="D256" s="15" t="s">
        <v>13</v>
      </c>
      <c r="E256" s="19" t="s">
        <v>14</v>
      </c>
      <c r="F256" s="15" t="s">
        <v>15</v>
      </c>
      <c r="G256" s="21">
        <v>40100.0</v>
      </c>
    </row>
    <row r="257" ht="13.5" customHeight="1">
      <c r="A257" s="15" t="s">
        <v>552</v>
      </c>
      <c r="B257" s="16" t="s">
        <v>553</v>
      </c>
      <c r="C257" s="17" t="str">
        <f>HYPERLINK("https://ra-matina.ru/?vendor_code=KrbilN067А")</f>
        <v>https://ra-matina.ru/?vendor_code=KrbilN067А</v>
      </c>
      <c r="D257" s="15" t="s">
        <v>28</v>
      </c>
      <c r="E257" s="19" t="s">
        <v>22</v>
      </c>
      <c r="F257" s="15" t="s">
        <v>15</v>
      </c>
      <c r="G257" s="21">
        <v>37300.0</v>
      </c>
    </row>
    <row r="258" ht="13.5" customHeight="1">
      <c r="A258" s="15" t="s">
        <v>554</v>
      </c>
      <c r="B258" s="28" t="s">
        <v>555</v>
      </c>
      <c r="C258" s="17" t="str">
        <f>HYPERLINK("https://ra-matina.ru/?vendor_code=KrbilN069А")</f>
        <v>https://ra-matina.ru/?vendor_code=KrbilN069А</v>
      </c>
      <c r="D258" s="15" t="s">
        <v>28</v>
      </c>
      <c r="E258" s="19" t="s">
        <v>22</v>
      </c>
      <c r="F258" s="15" t="s">
        <v>40</v>
      </c>
      <c r="G258" s="25" t="s">
        <v>556</v>
      </c>
    </row>
    <row r="259" ht="13.5" customHeight="1">
      <c r="A259" s="15" t="s">
        <v>557</v>
      </c>
      <c r="B259" s="16" t="s">
        <v>558</v>
      </c>
      <c r="C259" s="17" t="str">
        <f>HYPERLINK("https://ra-matina.ru/?vendor_code=KrbilN074А")</f>
        <v>https://ra-matina.ru/?vendor_code=KrbilN074А</v>
      </c>
      <c r="D259" s="15" t="s">
        <v>28</v>
      </c>
      <c r="E259" s="19" t="s">
        <v>22</v>
      </c>
      <c r="F259" s="15" t="s">
        <v>40</v>
      </c>
      <c r="G259" s="21">
        <v>30000.0</v>
      </c>
    </row>
    <row r="260" ht="13.5" customHeight="1">
      <c r="A260" s="15" t="s">
        <v>559</v>
      </c>
      <c r="B260" s="16" t="s">
        <v>560</v>
      </c>
      <c r="C260" s="17" t="str">
        <f>HYPERLINK("https://ra-matina.ru/?vendor_code=pa_403")</f>
        <v>https://ra-matina.ru/?vendor_code=pa_403</v>
      </c>
      <c r="D260" s="18" t="s">
        <v>21</v>
      </c>
      <c r="E260" s="22" t="s">
        <v>22</v>
      </c>
      <c r="F260" s="37" t="s">
        <v>40</v>
      </c>
      <c r="G260" s="20" t="s">
        <v>84</v>
      </c>
    </row>
    <row r="261" ht="13.5" customHeight="1">
      <c r="A261" s="15" t="s">
        <v>561</v>
      </c>
      <c r="B261" s="16" t="s">
        <v>562</v>
      </c>
      <c r="C261" s="17" t="str">
        <f>HYPERLINK("https://ra-matina.ru/?vendor_code=UM_263")</f>
        <v>https://ra-matina.ru/?vendor_code=UM_263</v>
      </c>
      <c r="D261" s="18" t="s">
        <v>21</v>
      </c>
      <c r="E261" s="22" t="s">
        <v>22</v>
      </c>
      <c r="F261" s="18" t="s">
        <v>15</v>
      </c>
      <c r="G261" s="20" t="s">
        <v>84</v>
      </c>
    </row>
    <row r="262" ht="13.5" customHeight="1">
      <c r="A262" s="15" t="s">
        <v>563</v>
      </c>
      <c r="B262" s="16" t="s">
        <v>564</v>
      </c>
      <c r="C262" s="17" t="str">
        <f>HYPERLINK("https://ra-matina.ru/?vendor_code=art_677")</f>
        <v>https://ra-matina.ru/?vendor_code=art_677</v>
      </c>
      <c r="D262" s="18" t="s">
        <v>43</v>
      </c>
      <c r="E262" s="19" t="s">
        <v>14</v>
      </c>
      <c r="F262" s="18" t="s">
        <v>15</v>
      </c>
      <c r="G262" s="20" t="s">
        <v>16</v>
      </c>
    </row>
    <row r="263" ht="13.5" customHeight="1">
      <c r="A263" s="15" t="s">
        <v>565</v>
      </c>
      <c r="B263" s="16" t="s">
        <v>566</v>
      </c>
      <c r="C263" s="17" t="str">
        <f>HYPERLINK("https://ra-matina.ru/?vendor_code=KrbilN071А2")</f>
        <v>https://ra-matina.ru/?vendor_code=KrbilN071А2</v>
      </c>
      <c r="D263" s="15" t="s">
        <v>13</v>
      </c>
      <c r="E263" s="19" t="s">
        <v>14</v>
      </c>
      <c r="F263" s="15" t="s">
        <v>15</v>
      </c>
      <c r="G263" s="21">
        <v>32000.0</v>
      </c>
    </row>
    <row r="264" ht="13.5" customHeight="1">
      <c r="A264" s="15" t="s">
        <v>567</v>
      </c>
      <c r="B264" s="16" t="s">
        <v>568</v>
      </c>
      <c r="C264" s="17" t="str">
        <f>HYPERLINK("https://ra-matina.ru/?vendor_code=KrbilN077А")</f>
        <v>https://ra-matina.ru/?vendor_code=KrbilN077А</v>
      </c>
      <c r="D264" s="15" t="s">
        <v>28</v>
      </c>
      <c r="E264" s="19" t="s">
        <v>22</v>
      </c>
      <c r="F264" s="15" t="s">
        <v>15</v>
      </c>
      <c r="G264" s="21">
        <v>36000.0</v>
      </c>
    </row>
    <row r="265" ht="13.5" customHeight="1">
      <c r="A265" s="15" t="s">
        <v>569</v>
      </c>
      <c r="B265" s="16" t="s">
        <v>570</v>
      </c>
      <c r="C265" s="17" t="str">
        <f>HYPERLINK("https://ra-matina.ru/?vendor_code=KrbilN067А2")</f>
        <v>https://ra-matina.ru/?vendor_code=KrbilN067А2</v>
      </c>
      <c r="D265" s="15" t="s">
        <v>13</v>
      </c>
      <c r="E265" s="19" t="s">
        <v>14</v>
      </c>
      <c r="F265" s="15" t="s">
        <v>15</v>
      </c>
      <c r="G265" s="21">
        <v>33500.0</v>
      </c>
    </row>
    <row r="266" ht="13.5" customHeight="1">
      <c r="A266" s="15" t="s">
        <v>571</v>
      </c>
      <c r="B266" s="16" t="s">
        <v>572</v>
      </c>
      <c r="C266" s="17" t="str">
        <f>HYPERLINK("https://ra-matina.ru/?vendor_code=pa_113")</f>
        <v>https://ra-matina.ru/?vendor_code=pa_113</v>
      </c>
      <c r="D266" s="18" t="s">
        <v>18</v>
      </c>
      <c r="E266" s="19" t="s">
        <v>14</v>
      </c>
      <c r="F266" s="18" t="s">
        <v>15</v>
      </c>
      <c r="G266" s="20" t="s">
        <v>284</v>
      </c>
    </row>
    <row r="267" ht="13.5" customHeight="1">
      <c r="A267" s="15" t="s">
        <v>573</v>
      </c>
      <c r="B267" s="16" t="s">
        <v>574</v>
      </c>
      <c r="C267" s="17" t="str">
        <f>HYPERLINK("https://ra-matina.ru/?vendor_code=KrbilN069А1")</f>
        <v>https://ra-matina.ru/?vendor_code=KrbilN069А1</v>
      </c>
      <c r="D267" s="15" t="s">
        <v>43</v>
      </c>
      <c r="E267" s="19" t="s">
        <v>14</v>
      </c>
      <c r="F267" s="15" t="s">
        <v>15</v>
      </c>
      <c r="G267" s="21">
        <v>32500.0</v>
      </c>
    </row>
    <row r="268" ht="13.5" customHeight="1">
      <c r="A268" s="15" t="s">
        <v>575</v>
      </c>
      <c r="B268" s="16" t="s">
        <v>576</v>
      </c>
      <c r="C268" s="17" t="str">
        <f>HYPERLINK("https://ra-matina.ru/?vendor_code=KrbilN072А3")</f>
        <v>https://ra-matina.ru/?vendor_code=KrbilN072А3</v>
      </c>
      <c r="D268" s="15" t="s">
        <v>18</v>
      </c>
      <c r="E268" s="19" t="s">
        <v>14</v>
      </c>
      <c r="F268" s="15" t="s">
        <v>15</v>
      </c>
      <c r="G268" s="21">
        <v>31200.0</v>
      </c>
    </row>
    <row r="269" ht="13.5" customHeight="1">
      <c r="A269" s="15" t="s">
        <v>577</v>
      </c>
      <c r="B269" s="16" t="s">
        <v>578</v>
      </c>
      <c r="C269" s="24" t="s">
        <v>579</v>
      </c>
      <c r="D269" s="15" t="s">
        <v>21</v>
      </c>
      <c r="E269" s="19" t="s">
        <v>22</v>
      </c>
      <c r="F269" s="15" t="s">
        <v>15</v>
      </c>
      <c r="G269" s="21" t="s">
        <v>280</v>
      </c>
    </row>
    <row r="270" ht="13.5" customHeight="1">
      <c r="A270" s="15" t="s">
        <v>580</v>
      </c>
      <c r="B270" s="16" t="s">
        <v>581</v>
      </c>
      <c r="C270" s="24" t="s">
        <v>582</v>
      </c>
      <c r="D270" s="15" t="s">
        <v>13</v>
      </c>
      <c r="E270" s="19" t="s">
        <v>14</v>
      </c>
      <c r="F270" s="15" t="s">
        <v>15</v>
      </c>
      <c r="G270" s="21" t="s">
        <v>583</v>
      </c>
    </row>
    <row r="271" ht="13.5" customHeight="1">
      <c r="A271" s="15" t="s">
        <v>584</v>
      </c>
      <c r="B271" s="16" t="s">
        <v>585</v>
      </c>
      <c r="C271" s="17" t="str">
        <f>HYPERLINK("https://ra-matina.ru/?vendor_code=UM_330")</f>
        <v>https://ra-matina.ru/?vendor_code=UM_330</v>
      </c>
      <c r="D271" s="18" t="s">
        <v>18</v>
      </c>
      <c r="E271" s="19" t="s">
        <v>14</v>
      </c>
      <c r="F271" s="18" t="s">
        <v>15</v>
      </c>
      <c r="G271" s="20" t="s">
        <v>583</v>
      </c>
    </row>
    <row r="272" ht="13.5" customHeight="1">
      <c r="A272" s="15" t="s">
        <v>586</v>
      </c>
      <c r="B272" s="16" t="s">
        <v>587</v>
      </c>
      <c r="C272" s="17" t="str">
        <f>HYPERLINK("https://ra-matina.ru/?vendor_code=UM_331")</f>
        <v>https://ra-matina.ru/?vendor_code=UM_331</v>
      </c>
      <c r="D272" s="18" t="s">
        <v>35</v>
      </c>
      <c r="E272" s="19" t="s">
        <v>14</v>
      </c>
      <c r="F272" s="18" t="s">
        <v>15</v>
      </c>
      <c r="G272" s="20" t="s">
        <v>588</v>
      </c>
    </row>
    <row r="273" ht="13.5" customHeight="1">
      <c r="A273" s="15" t="s">
        <v>589</v>
      </c>
      <c r="B273" s="16" t="s">
        <v>590</v>
      </c>
      <c r="C273" s="17" t="str">
        <f>HYPERLINK("https://ra-matina.ru/?vendor_code=KrbilN076Б")</f>
        <v>https://ra-matina.ru/?vendor_code=KrbilN076Б</v>
      </c>
      <c r="D273" s="15" t="s">
        <v>21</v>
      </c>
      <c r="E273" s="19" t="s">
        <v>22</v>
      </c>
      <c r="F273" s="15" t="s">
        <v>15</v>
      </c>
      <c r="G273" s="21">
        <v>29900.0</v>
      </c>
    </row>
    <row r="274" ht="13.5" customHeight="1">
      <c r="A274" s="15" t="s">
        <v>591</v>
      </c>
      <c r="B274" s="16" t="s">
        <v>592</v>
      </c>
      <c r="C274" s="17" t="str">
        <f>HYPERLINK("https://ra-matina.ru/?vendor_code=KrbilN076А")</f>
        <v>https://ra-matina.ru/?vendor_code=KrbilN076А</v>
      </c>
      <c r="D274" s="15" t="s">
        <v>28</v>
      </c>
      <c r="E274" s="19" t="s">
        <v>22</v>
      </c>
      <c r="F274" s="15" t="s">
        <v>15</v>
      </c>
      <c r="G274" s="21">
        <v>31900.0</v>
      </c>
    </row>
    <row r="275" ht="13.5" customHeight="1">
      <c r="A275" s="15" t="s">
        <v>593</v>
      </c>
      <c r="B275" s="16" t="s">
        <v>594</v>
      </c>
      <c r="C275" s="17" t="str">
        <f>HYPERLINK("https://ra-matina.ru/?vendor_code=К_037A1")</f>
        <v>https://ra-matina.ru/?vendor_code=К_037A1</v>
      </c>
      <c r="D275" s="18" t="s">
        <v>18</v>
      </c>
      <c r="E275" s="19" t="s">
        <v>14</v>
      </c>
      <c r="F275" s="18" t="s">
        <v>15</v>
      </c>
      <c r="G275" s="20" t="s">
        <v>110</v>
      </c>
    </row>
    <row r="276" ht="13.5" customHeight="1">
      <c r="A276" s="15" t="s">
        <v>595</v>
      </c>
      <c r="B276" s="16" t="s">
        <v>596</v>
      </c>
      <c r="C276" s="17" t="str">
        <f>HYPERLINK("https://ra-matina.ru/?vendor_code=К_026A1")</f>
        <v>https://ra-matina.ru/?vendor_code=К_026A1</v>
      </c>
      <c r="D276" s="18" t="s">
        <v>18</v>
      </c>
      <c r="E276" s="19" t="s">
        <v>14</v>
      </c>
      <c r="F276" s="18" t="s">
        <v>15</v>
      </c>
      <c r="G276" s="20" t="s">
        <v>220</v>
      </c>
    </row>
    <row r="277" ht="13.5" customHeight="1">
      <c r="A277" s="15" t="s">
        <v>597</v>
      </c>
      <c r="B277" s="16" t="s">
        <v>598</v>
      </c>
      <c r="C277" s="17" t="str">
        <f>HYPERLINK("https://ra-matina.ru/?vendor_code=К_024A1")</f>
        <v>https://ra-matina.ru/?vendor_code=К_024A1</v>
      </c>
      <c r="D277" s="18" t="s">
        <v>18</v>
      </c>
      <c r="E277" s="19" t="s">
        <v>14</v>
      </c>
      <c r="F277" s="18" t="s">
        <v>15</v>
      </c>
      <c r="G277" s="20" t="s">
        <v>220</v>
      </c>
    </row>
    <row r="278" ht="13.5" customHeight="1">
      <c r="A278" s="15" t="s">
        <v>599</v>
      </c>
      <c r="B278" s="16" t="s">
        <v>600</v>
      </c>
      <c r="C278" s="17" t="str">
        <f>HYPERLINK("https://ra-matina.ru/?vendor_code=К_035")</f>
        <v>https://ra-matina.ru/?vendor_code=К_035</v>
      </c>
      <c r="D278" s="18" t="s">
        <v>18</v>
      </c>
      <c r="E278" s="22" t="s">
        <v>22</v>
      </c>
      <c r="F278" s="18" t="s">
        <v>15</v>
      </c>
      <c r="G278" s="20" t="s">
        <v>220</v>
      </c>
    </row>
    <row r="279" ht="13.5" customHeight="1">
      <c r="A279" s="15" t="s">
        <v>601</v>
      </c>
      <c r="B279" s="16" t="s">
        <v>602</v>
      </c>
      <c r="C279" s="17" t="str">
        <f>HYPERLINK("https://ra-matina.ru/?vendor_code=KrbilN078А")</f>
        <v>https://ra-matina.ru/?vendor_code=KrbilN078А</v>
      </c>
      <c r="D279" s="15" t="s">
        <v>28</v>
      </c>
      <c r="E279" s="19" t="s">
        <v>22</v>
      </c>
      <c r="F279" s="15" t="s">
        <v>40</v>
      </c>
      <c r="G279" s="21">
        <v>30000.0</v>
      </c>
    </row>
    <row r="280" ht="13.5" customHeight="1">
      <c r="A280" s="15" t="s">
        <v>603</v>
      </c>
      <c r="B280" s="16" t="s">
        <v>604</v>
      </c>
      <c r="C280" s="17" t="str">
        <f>HYPERLINK("https://ra-matina.ru/?vendor_code=KrbilN079Б")</f>
        <v>https://ra-matina.ru/?vendor_code=KrbilN079Б</v>
      </c>
      <c r="D280" s="15" t="s">
        <v>21</v>
      </c>
      <c r="E280" s="19" t="s">
        <v>22</v>
      </c>
      <c r="F280" s="15" t="s">
        <v>40</v>
      </c>
      <c r="G280" s="21">
        <v>28500.0</v>
      </c>
    </row>
    <row r="281" ht="13.5" customHeight="1">
      <c r="A281" s="15" t="s">
        <v>605</v>
      </c>
      <c r="B281" s="16" t="s">
        <v>606</v>
      </c>
      <c r="C281" s="17" t="str">
        <f>HYPERLINK("https://ra-matina.ru/?vendor_code=KrbilN079А")</f>
        <v>https://ra-matina.ru/?vendor_code=KrbilN079А</v>
      </c>
      <c r="D281" s="15" t="s">
        <v>21</v>
      </c>
      <c r="E281" s="19" t="s">
        <v>22</v>
      </c>
      <c r="F281" s="15" t="s">
        <v>15</v>
      </c>
      <c r="G281" s="21">
        <v>28200.0</v>
      </c>
    </row>
    <row r="282" ht="13.5" customHeight="1">
      <c r="A282" s="15" t="s">
        <v>607</v>
      </c>
      <c r="B282" s="16" t="s">
        <v>608</v>
      </c>
      <c r="C282" s="17" t="str">
        <f>HYPERLINK("https://ra-matina.ru/?vendor_code=KrbilN087А3")</f>
        <v>https://ra-matina.ru/?vendor_code=KrbilN087А3</v>
      </c>
      <c r="D282" s="15" t="s">
        <v>18</v>
      </c>
      <c r="E282" s="19" t="s">
        <v>609</v>
      </c>
      <c r="F282" s="15" t="s">
        <v>15</v>
      </c>
      <c r="G282" s="21">
        <v>44500.0</v>
      </c>
    </row>
    <row r="283" ht="13.5" customHeight="1">
      <c r="A283" s="15" t="s">
        <v>610</v>
      </c>
      <c r="B283" s="16" t="s">
        <v>611</v>
      </c>
      <c r="C283" s="17" t="str">
        <f>HYPERLINK("https://ra-matina.ru/?vendor_code=KrbilN083А2")</f>
        <v>https://ra-matina.ru/?vendor_code=KrbilN083А2</v>
      </c>
      <c r="D283" s="15" t="s">
        <v>13</v>
      </c>
      <c r="E283" s="19" t="s">
        <v>14</v>
      </c>
      <c r="F283" s="15" t="s">
        <v>15</v>
      </c>
      <c r="G283" s="21">
        <v>34500.0</v>
      </c>
    </row>
    <row r="284" ht="13.5" customHeight="1">
      <c r="A284" s="15" t="s">
        <v>612</v>
      </c>
      <c r="B284" s="16" t="s">
        <v>613</v>
      </c>
      <c r="C284" s="17" t="str">
        <f>HYPERLINK("https://ra-matina.ru/?vendor_code=KrbilN086А_2")</f>
        <v>https://ra-matina.ru/?vendor_code=KrbilN086А_2</v>
      </c>
      <c r="D284" s="15" t="s">
        <v>13</v>
      </c>
      <c r="E284" s="19" t="s">
        <v>22</v>
      </c>
      <c r="F284" s="15" t="s">
        <v>15</v>
      </c>
      <c r="G284" s="21">
        <v>37000.0</v>
      </c>
    </row>
    <row r="285" ht="13.5" customHeight="1">
      <c r="A285" s="15" t="s">
        <v>614</v>
      </c>
      <c r="B285" s="16" t="s">
        <v>615</v>
      </c>
      <c r="C285" s="17" t="str">
        <f>HYPERLINK("https://ra-matina.ru/?vendor_code=KrbilN086А_1")</f>
        <v>https://ra-matina.ru/?vendor_code=KrbilN086А_1</v>
      </c>
      <c r="D285" s="15" t="s">
        <v>43</v>
      </c>
      <c r="E285" s="19" t="s">
        <v>22</v>
      </c>
      <c r="F285" s="15" t="s">
        <v>15</v>
      </c>
      <c r="G285" s="21">
        <v>37000.0</v>
      </c>
    </row>
    <row r="286" ht="13.5" customHeight="1">
      <c r="A286" s="15" t="s">
        <v>616</v>
      </c>
      <c r="B286" s="16" t="s">
        <v>617</v>
      </c>
      <c r="C286" s="17" t="str">
        <f>HYPERLINK("https://ra-matina.ru/?vendor_code=KrbilN090А2_1")</f>
        <v>https://ra-matina.ru/?vendor_code=KrbilN090А2_1</v>
      </c>
      <c r="D286" s="15" t="s">
        <v>13</v>
      </c>
      <c r="E286" s="19" t="s">
        <v>22</v>
      </c>
      <c r="F286" s="15" t="s">
        <v>15</v>
      </c>
      <c r="G286" s="21">
        <v>37000.0</v>
      </c>
    </row>
    <row r="287" ht="13.5" customHeight="1">
      <c r="A287" s="15" t="s">
        <v>618</v>
      </c>
      <c r="B287" s="16" t="s">
        <v>619</v>
      </c>
      <c r="C287" s="17" t="str">
        <f>HYPERLINK("https://ra-matina.ru/?vendor_code=KrbilN090А1")</f>
        <v>https://ra-matina.ru/?vendor_code=KrbilN090А1</v>
      </c>
      <c r="D287" s="15" t="s">
        <v>43</v>
      </c>
      <c r="E287" s="19" t="s">
        <v>22</v>
      </c>
      <c r="F287" s="15" t="s">
        <v>15</v>
      </c>
      <c r="G287" s="21">
        <v>37000.0</v>
      </c>
    </row>
    <row r="288" ht="13.5" customHeight="1">
      <c r="A288" s="15" t="s">
        <v>620</v>
      </c>
      <c r="B288" s="16" t="s">
        <v>621</v>
      </c>
      <c r="C288" s="17" t="str">
        <f>HYPERLINK("https://ra-matina.ru/?vendor_code=KrbilN090Б")</f>
        <v>https://ra-matina.ru/?vendor_code=KrbilN090Б</v>
      </c>
      <c r="D288" s="15" t="s">
        <v>21</v>
      </c>
      <c r="E288" s="19" t="s">
        <v>22</v>
      </c>
      <c r="F288" s="15" t="s">
        <v>40</v>
      </c>
      <c r="G288" s="21">
        <v>32000.0</v>
      </c>
    </row>
    <row r="289" ht="13.5" customHeight="1">
      <c r="A289" s="15" t="s">
        <v>622</v>
      </c>
      <c r="B289" s="16" t="s">
        <v>623</v>
      </c>
      <c r="C289" s="17" t="str">
        <f>HYPERLINK("https://ra-matina.ru/?vendor_code=pa_473")</f>
        <v>https://ra-matina.ru/?vendor_code=pa_473</v>
      </c>
      <c r="D289" s="18" t="s">
        <v>18</v>
      </c>
      <c r="E289" s="19" t="s">
        <v>14</v>
      </c>
      <c r="F289" s="18" t="s">
        <v>15</v>
      </c>
      <c r="G289" s="20" t="s">
        <v>624</v>
      </c>
    </row>
    <row r="290" ht="13.5" customHeight="1">
      <c r="A290" s="15" t="s">
        <v>625</v>
      </c>
      <c r="B290" s="16" t="s">
        <v>626</v>
      </c>
      <c r="C290" s="17" t="str">
        <f>HYPERLINK("https://ra-matina.ru/?vendor_code=KrbilN084Б")</f>
        <v>https://ra-matina.ru/?vendor_code=KrbilN084Б</v>
      </c>
      <c r="D290" s="15" t="s">
        <v>18</v>
      </c>
      <c r="E290" s="19" t="s">
        <v>14</v>
      </c>
      <c r="F290" s="15" t="s">
        <v>15</v>
      </c>
      <c r="G290" s="21">
        <v>31900.0</v>
      </c>
    </row>
    <row r="291" ht="13.5" customHeight="1">
      <c r="A291" s="15" t="s">
        <v>627</v>
      </c>
      <c r="B291" s="16" t="s">
        <v>628</v>
      </c>
      <c r="C291" s="17" t="str">
        <f>HYPERLINK("https://ra-matina.ru/?vendor_code=pa_447")</f>
        <v>https://ra-matina.ru/?vendor_code=pa_447</v>
      </c>
      <c r="D291" s="18" t="s">
        <v>18</v>
      </c>
      <c r="E291" s="19" t="s">
        <v>14</v>
      </c>
      <c r="F291" s="18" t="s">
        <v>15</v>
      </c>
      <c r="G291" s="20" t="s">
        <v>284</v>
      </c>
    </row>
    <row r="292" ht="13.5" customHeight="1">
      <c r="A292" s="15" t="s">
        <v>629</v>
      </c>
      <c r="B292" s="16" t="s">
        <v>630</v>
      </c>
      <c r="C292" s="17" t="str">
        <f>HYPERLINK("https://ra-matina.ru/?vendor_code=П024")</f>
        <v>https://ra-matina.ru/?vendor_code=П024</v>
      </c>
      <c r="D292" s="23" t="s">
        <v>31</v>
      </c>
      <c r="E292" s="22" t="s">
        <v>22</v>
      </c>
      <c r="F292" s="18" t="s">
        <v>15</v>
      </c>
      <c r="G292" s="20" t="s">
        <v>631</v>
      </c>
    </row>
    <row r="293" ht="13.5" customHeight="1">
      <c r="A293" s="15" t="s">
        <v>632</v>
      </c>
      <c r="B293" s="16" t="s">
        <v>633</v>
      </c>
      <c r="C293" s="17" t="str">
        <f>HYPERLINK("https://ra-matina.ru/?vendor_code=П023")</f>
        <v>https://ra-matina.ru/?vendor_code=П023</v>
      </c>
      <c r="D293" s="23" t="s">
        <v>21</v>
      </c>
      <c r="E293" s="22" t="s">
        <v>22</v>
      </c>
      <c r="F293" s="18" t="s">
        <v>15</v>
      </c>
      <c r="G293" s="20" t="s">
        <v>631</v>
      </c>
    </row>
    <row r="294" ht="13.5" customHeight="1">
      <c r="A294" s="15" t="s">
        <v>634</v>
      </c>
      <c r="B294" s="16" t="s">
        <v>635</v>
      </c>
      <c r="C294" s="17" t="str">
        <f>HYPERLINK("https://ra-matina.ru/?vendor_code=KrbilN090А2")</f>
        <v>https://ra-matina.ru/?vendor_code=KrbilN090А2</v>
      </c>
      <c r="D294" s="15" t="s">
        <v>13</v>
      </c>
      <c r="E294" s="19" t="s">
        <v>22</v>
      </c>
      <c r="F294" s="15" t="s">
        <v>40</v>
      </c>
      <c r="G294" s="21">
        <v>35000.0</v>
      </c>
    </row>
    <row r="295" ht="13.5" customHeight="1">
      <c r="A295" s="15" t="s">
        <v>636</v>
      </c>
      <c r="B295" s="16" t="s">
        <v>637</v>
      </c>
      <c r="C295" s="17" t="str">
        <f>HYPERLINK("https://ra-matina.ru/?vendor_code=KrbilN091А1")</f>
        <v>https://ra-matina.ru/?vendor_code=KrbilN091А1</v>
      </c>
      <c r="D295" s="15" t="s">
        <v>43</v>
      </c>
      <c r="E295" s="19" t="s">
        <v>22</v>
      </c>
      <c r="F295" s="15" t="s">
        <v>40</v>
      </c>
      <c r="G295" s="21">
        <v>32000.0</v>
      </c>
    </row>
    <row r="296" ht="13.5" customHeight="1">
      <c r="A296" s="15" t="s">
        <v>638</v>
      </c>
      <c r="B296" s="16" t="s">
        <v>639</v>
      </c>
      <c r="C296" s="17" t="str">
        <f>HYPERLINK("https://ra-matina.ru/?vendor_code=KRD051B1GGBB")</f>
        <v>https://ra-matina.ru/?vendor_code=KRD051B1GGBB</v>
      </c>
      <c r="D296" s="18" t="s">
        <v>21</v>
      </c>
      <c r="E296" s="22" t="s">
        <v>22</v>
      </c>
      <c r="F296" s="18" t="s">
        <v>15</v>
      </c>
      <c r="G296" s="20" t="s">
        <v>271</v>
      </c>
    </row>
    <row r="297" ht="13.5" customHeight="1">
      <c r="A297" s="15" t="s">
        <v>640</v>
      </c>
      <c r="B297" s="16" t="s">
        <v>641</v>
      </c>
      <c r="C297" s="17" t="str">
        <f>HYPERLINK("https://ra-matina.ru/?vendor_code=KRD168A3GGBB")</f>
        <v>https://ra-matina.ru/?vendor_code=KRD168A3GGBB</v>
      </c>
      <c r="D297" s="18" t="s">
        <v>18</v>
      </c>
      <c r="E297" s="19" t="s">
        <v>14</v>
      </c>
      <c r="F297" s="18" t="s">
        <v>15</v>
      </c>
      <c r="G297" s="20" t="s">
        <v>320</v>
      </c>
    </row>
    <row r="298" ht="13.5" customHeight="1">
      <c r="A298" s="15" t="s">
        <v>642</v>
      </c>
      <c r="B298" s="16" t="s">
        <v>643</v>
      </c>
      <c r="C298" s="17" t="str">
        <f>HYPERLINK("https://ra-matina.ru/?vendor_code=KRD054A6GGBB")</f>
        <v>https://ra-matina.ru/?vendor_code=KRD054A6GGBB</v>
      </c>
      <c r="D298" s="18" t="s">
        <v>644</v>
      </c>
      <c r="E298" s="19" t="s">
        <v>14</v>
      </c>
      <c r="F298" s="18" t="s">
        <v>15</v>
      </c>
      <c r="G298" s="20" t="s">
        <v>320</v>
      </c>
    </row>
    <row r="299" ht="13.5" customHeight="1">
      <c r="A299" s="15" t="s">
        <v>645</v>
      </c>
      <c r="B299" s="16" t="s">
        <v>646</v>
      </c>
      <c r="C299" s="17" t="str">
        <f>HYPERLINK("https://ra-matina.ru/?vendor_code=KrbilN093А")</f>
        <v>https://ra-matina.ru/?vendor_code=KrbilN093А</v>
      </c>
      <c r="D299" s="15" t="s">
        <v>28</v>
      </c>
      <c r="E299" s="19" t="s">
        <v>22</v>
      </c>
      <c r="F299" s="15" t="s">
        <v>40</v>
      </c>
      <c r="G299" s="21">
        <v>32000.0</v>
      </c>
    </row>
    <row r="300" ht="13.5" customHeight="1">
      <c r="A300" s="15" t="s">
        <v>647</v>
      </c>
      <c r="B300" s="16" t="s">
        <v>648</v>
      </c>
      <c r="C300" s="17" t="str">
        <f>HYPERLINK("https://ra-matina.ru/?vendor_code=KrbilN091А")</f>
        <v>https://ra-matina.ru/?vendor_code=KrbilN091А</v>
      </c>
      <c r="D300" s="15" t="s">
        <v>28</v>
      </c>
      <c r="E300" s="19" t="s">
        <v>22</v>
      </c>
      <c r="F300" s="15" t="s">
        <v>40</v>
      </c>
      <c r="G300" s="21">
        <v>35000.0</v>
      </c>
    </row>
    <row r="301" ht="13.5" customHeight="1">
      <c r="A301" s="15" t="s">
        <v>649</v>
      </c>
      <c r="B301" s="16" t="s">
        <v>650</v>
      </c>
      <c r="C301" s="17" t="str">
        <f>HYPERLINK("https://ra-matina.ru/?vendor_code=KrbilN089А1")</f>
        <v>https://ra-matina.ru/?vendor_code=KrbilN089А1</v>
      </c>
      <c r="D301" s="15" t="s">
        <v>43</v>
      </c>
      <c r="E301" s="19" t="s">
        <v>14</v>
      </c>
      <c r="F301" s="15" t="s">
        <v>15</v>
      </c>
      <c r="G301" s="21">
        <v>32900.0</v>
      </c>
    </row>
    <row r="302" ht="13.5" customHeight="1">
      <c r="A302" s="15" t="s">
        <v>651</v>
      </c>
      <c r="B302" s="16" t="s">
        <v>652</v>
      </c>
      <c r="C302" s="17" t="str">
        <f>HYPERLINK("https://ra-matina.ru/?vendor_code=KrbilN082А")</f>
        <v>https://ra-matina.ru/?vendor_code=KrbilN082А</v>
      </c>
      <c r="D302" s="15" t="s">
        <v>28</v>
      </c>
      <c r="E302" s="19" t="s">
        <v>22</v>
      </c>
      <c r="F302" s="15" t="s">
        <v>15</v>
      </c>
      <c r="G302" s="21">
        <v>31900.0</v>
      </c>
    </row>
    <row r="303" ht="13.5" customHeight="1">
      <c r="A303" s="15" t="s">
        <v>653</v>
      </c>
      <c r="B303" s="16" t="s">
        <v>654</v>
      </c>
      <c r="C303" s="17" t="str">
        <f>HYPERLINK("https://ra-matina.ru/?vendor_code=KrbilN086А1")</f>
        <v>https://ra-matina.ru/?vendor_code=KrbilN086А1</v>
      </c>
      <c r="D303" s="15" t="s">
        <v>43</v>
      </c>
      <c r="E303" s="19" t="s">
        <v>22</v>
      </c>
      <c r="F303" s="15" t="s">
        <v>40</v>
      </c>
      <c r="G303" s="21">
        <v>32000.0</v>
      </c>
    </row>
    <row r="304" ht="13.5" customHeight="1">
      <c r="A304" s="15" t="s">
        <v>655</v>
      </c>
      <c r="B304" s="16" t="s">
        <v>654</v>
      </c>
      <c r="C304" s="17" t="str">
        <f>HYPERLINK("https://ra-matina.ru/?vendor_code=KrbilN086А2")</f>
        <v>https://ra-matina.ru/?vendor_code=KrbilN086А2</v>
      </c>
      <c r="D304" s="15" t="s">
        <v>13</v>
      </c>
      <c r="E304" s="19" t="s">
        <v>22</v>
      </c>
      <c r="F304" s="15" t="s">
        <v>15</v>
      </c>
      <c r="G304" s="21">
        <v>32900.0</v>
      </c>
    </row>
    <row r="305" ht="13.5" customHeight="1">
      <c r="A305" s="15" t="s">
        <v>656</v>
      </c>
      <c r="B305" s="16" t="s">
        <v>657</v>
      </c>
      <c r="C305" s="17" t="str">
        <f>HYPERLINK("https://ra-matina.ru/?vendor_code=KrbilN085А2")</f>
        <v>https://ra-matina.ru/?vendor_code=KrbilN085А2</v>
      </c>
      <c r="D305" s="15" t="s">
        <v>13</v>
      </c>
      <c r="E305" s="19" t="s">
        <v>22</v>
      </c>
      <c r="F305" s="15" t="s">
        <v>40</v>
      </c>
      <c r="G305" s="21">
        <v>32000.0</v>
      </c>
    </row>
    <row r="306" ht="13.5" customHeight="1">
      <c r="A306" s="15" t="s">
        <v>658</v>
      </c>
      <c r="B306" s="16" t="s">
        <v>659</v>
      </c>
      <c r="C306" s="24" t="s">
        <v>660</v>
      </c>
      <c r="D306" s="15" t="s">
        <v>13</v>
      </c>
      <c r="E306" s="19" t="s">
        <v>14</v>
      </c>
      <c r="F306" s="15" t="s">
        <v>15</v>
      </c>
      <c r="G306" s="21" t="s">
        <v>32</v>
      </c>
    </row>
    <row r="307" ht="13.5" customHeight="1">
      <c r="A307" s="15" t="s">
        <v>661</v>
      </c>
      <c r="B307" s="16" t="s">
        <v>662</v>
      </c>
      <c r="C307" s="17" t="str">
        <f>HYPERLINK("https://ra-matina.ru/?vendor_code=KrbilN088А1")</f>
        <v>https://ra-matina.ru/?vendor_code=KrbilN088А1</v>
      </c>
      <c r="D307" s="15" t="s">
        <v>43</v>
      </c>
      <c r="E307" s="19" t="s">
        <v>14</v>
      </c>
      <c r="F307" s="15" t="s">
        <v>40</v>
      </c>
      <c r="G307" s="21">
        <v>30000.0</v>
      </c>
    </row>
    <row r="308" ht="13.5" customHeight="1">
      <c r="A308" s="15" t="s">
        <v>663</v>
      </c>
      <c r="B308" s="16" t="s">
        <v>662</v>
      </c>
      <c r="C308" s="17" t="str">
        <f>HYPERLINK("https://ra-matina.ru/?vendor_code=KrbilN088А2")</f>
        <v>https://ra-matina.ru/?vendor_code=KrbilN088А2</v>
      </c>
      <c r="D308" s="15" t="s">
        <v>13</v>
      </c>
      <c r="E308" s="19" t="s">
        <v>22</v>
      </c>
      <c r="F308" s="15" t="s">
        <v>15</v>
      </c>
      <c r="G308" s="21">
        <v>40100.0</v>
      </c>
    </row>
    <row r="309" ht="13.5" customHeight="1">
      <c r="A309" s="15" t="s">
        <v>664</v>
      </c>
      <c r="B309" s="16" t="s">
        <v>665</v>
      </c>
      <c r="C309" s="17" t="str">
        <f>HYPERLINK("https://ra-matina.ru/?vendor_code=KrbilN087А2")</f>
        <v>https://ra-matina.ru/?vendor_code=KrbilN087А2</v>
      </c>
      <c r="D309" s="15" t="s">
        <v>13</v>
      </c>
      <c r="E309" s="19" t="s">
        <v>22</v>
      </c>
      <c r="F309" s="15" t="s">
        <v>40</v>
      </c>
      <c r="G309" s="21">
        <v>32000.0</v>
      </c>
    </row>
    <row r="310" ht="13.5" customHeight="1">
      <c r="A310" s="15" t="s">
        <v>666</v>
      </c>
      <c r="B310" s="16" t="s">
        <v>667</v>
      </c>
      <c r="C310" s="17" t="str">
        <f>HYPERLINK("https://ra-matina.ru/?vendor_code=pa_088")</f>
        <v>https://ra-matina.ru/?vendor_code=pa_088</v>
      </c>
      <c r="D310" s="18" t="s">
        <v>18</v>
      </c>
      <c r="E310" s="19" t="s">
        <v>14</v>
      </c>
      <c r="F310" s="18" t="s">
        <v>15</v>
      </c>
      <c r="G310" s="20" t="s">
        <v>284</v>
      </c>
    </row>
    <row r="311" ht="13.5" customHeight="1">
      <c r="A311" s="15" t="s">
        <v>668</v>
      </c>
      <c r="B311" s="16" t="s">
        <v>669</v>
      </c>
      <c r="C311" s="17" t="str">
        <f>HYPERLINK("https://ra-matina.ru/?vendor_code=KrbilN094А3")</f>
        <v>https://ra-matina.ru/?vendor_code=KrbilN094А3</v>
      </c>
      <c r="D311" s="15" t="s">
        <v>18</v>
      </c>
      <c r="E311" s="19" t="s">
        <v>14</v>
      </c>
      <c r="F311" s="15" t="s">
        <v>15</v>
      </c>
      <c r="G311" s="21">
        <v>34500.0</v>
      </c>
    </row>
    <row r="312" ht="13.5" customHeight="1">
      <c r="A312" s="15" t="s">
        <v>670</v>
      </c>
      <c r="B312" s="16" t="s">
        <v>671</v>
      </c>
      <c r="C312" s="17" t="str">
        <f>HYPERLINK("https://ra-matina.ru/?vendor_code=KrbilN092Б0")</f>
        <v>https://ra-matina.ru/?vendor_code=KrbilN092Б0</v>
      </c>
      <c r="D312" s="15" t="s">
        <v>21</v>
      </c>
      <c r="E312" s="19" t="s">
        <v>22</v>
      </c>
      <c r="F312" s="15" t="s">
        <v>40</v>
      </c>
      <c r="G312" s="21">
        <v>18000.0</v>
      </c>
    </row>
    <row r="313" ht="13.5" customHeight="1">
      <c r="A313" s="15" t="s">
        <v>672</v>
      </c>
      <c r="B313" s="16" t="s">
        <v>673</v>
      </c>
      <c r="C313" s="17" t="str">
        <f>HYPERLINK("https://ra-matina.ru/?vendor_code=К_017")</f>
        <v>https://ra-matina.ru/?vendor_code=К_017</v>
      </c>
      <c r="D313" s="18" t="s">
        <v>28</v>
      </c>
      <c r="E313" s="22" t="s">
        <v>22</v>
      </c>
      <c r="F313" s="18" t="s">
        <v>15</v>
      </c>
      <c r="G313" s="20" t="s">
        <v>220</v>
      </c>
    </row>
    <row r="314" ht="13.5" customHeight="1">
      <c r="A314" s="15" t="s">
        <v>674</v>
      </c>
      <c r="B314" s="16" t="s">
        <v>675</v>
      </c>
      <c r="C314" s="17" t="str">
        <f>HYPERLINK("https://ra-matina.ru/?vendor_code=К_017B")</f>
        <v>https://ra-matina.ru/?vendor_code=К_017B</v>
      </c>
      <c r="D314" s="18" t="s">
        <v>21</v>
      </c>
      <c r="E314" s="22" t="s">
        <v>22</v>
      </c>
      <c r="F314" s="18" t="s">
        <v>15</v>
      </c>
      <c r="G314" s="20" t="s">
        <v>59</v>
      </c>
    </row>
    <row r="315" ht="13.5" customHeight="1">
      <c r="A315" s="15" t="s">
        <v>676</v>
      </c>
      <c r="B315" s="16" t="s">
        <v>677</v>
      </c>
      <c r="C315" s="17" t="str">
        <f>HYPERLINK("https://ra-matina.ru/?vendor_code=KRD096A1GGBB")</f>
        <v>https://ra-matina.ru/?vendor_code=KRD096A1GGBB</v>
      </c>
      <c r="D315" s="18" t="s">
        <v>43</v>
      </c>
      <c r="E315" s="22" t="s">
        <v>22</v>
      </c>
      <c r="F315" s="18" t="s">
        <v>15</v>
      </c>
      <c r="G315" s="20" t="s">
        <v>150</v>
      </c>
    </row>
    <row r="316" ht="13.5" customHeight="1">
      <c r="A316" s="15" t="s">
        <v>678</v>
      </c>
      <c r="B316" s="16" t="s">
        <v>679</v>
      </c>
      <c r="C316" s="17" t="str">
        <f>HYPERLINK("https://ra-matina.ru/?vendor_code=KRD097A1GGBB")</f>
        <v>https://ra-matina.ru/?vendor_code=KRD097A1GGBB</v>
      </c>
      <c r="D316" s="18" t="s">
        <v>43</v>
      </c>
      <c r="E316" s="22" t="s">
        <v>22</v>
      </c>
      <c r="F316" s="18" t="s">
        <v>15</v>
      </c>
      <c r="G316" s="20" t="s">
        <v>150</v>
      </c>
    </row>
    <row r="317" ht="13.5" customHeight="1">
      <c r="A317" s="15" t="s">
        <v>680</v>
      </c>
      <c r="B317" s="16" t="s">
        <v>681</v>
      </c>
      <c r="C317" s="17" t="str">
        <f>HYPERLINK("https://ra-matina.ru/?vendor_code=KRD092A1GGBB")</f>
        <v>https://ra-matina.ru/?vendor_code=KRD092A1GGBB</v>
      </c>
      <c r="D317" s="18" t="s">
        <v>43</v>
      </c>
      <c r="E317" s="22" t="s">
        <v>22</v>
      </c>
      <c r="F317" s="18" t="s">
        <v>15</v>
      </c>
      <c r="G317" s="20" t="s">
        <v>150</v>
      </c>
    </row>
    <row r="318" ht="13.5" customHeight="1">
      <c r="A318" s="15" t="s">
        <v>682</v>
      </c>
      <c r="B318" s="16" t="s">
        <v>683</v>
      </c>
      <c r="C318" s="17" t="str">
        <f>HYPERLINK("https://ra-matina.ru/?vendor_code=KRD094A2GGBB")</f>
        <v>https://ra-matina.ru/?vendor_code=KRD094A2GGBB</v>
      </c>
      <c r="D318" s="18" t="s">
        <v>13</v>
      </c>
      <c r="E318" s="22" t="s">
        <v>22</v>
      </c>
      <c r="F318" s="18" t="s">
        <v>15</v>
      </c>
      <c r="G318" s="35" t="s">
        <v>426</v>
      </c>
    </row>
    <row r="319" ht="13.5" customHeight="1">
      <c r="A319" s="15" t="s">
        <v>684</v>
      </c>
      <c r="B319" s="16" t="s">
        <v>685</v>
      </c>
      <c r="C319" s="17" t="str">
        <f>HYPERLINK("https://ra-matina.ru/?vendor_code=KRD169A2GGBB")</f>
        <v>https://ra-matina.ru/?vendor_code=KRD169A2GGBB</v>
      </c>
      <c r="D319" s="18" t="s">
        <v>13</v>
      </c>
      <c r="E319" s="22" t="s">
        <v>22</v>
      </c>
      <c r="F319" s="18" t="s">
        <v>15</v>
      </c>
      <c r="G319" s="20" t="s">
        <v>320</v>
      </c>
    </row>
    <row r="320" ht="13.5" customHeight="1">
      <c r="A320" s="15" t="s">
        <v>686</v>
      </c>
      <c r="B320" s="16" t="s">
        <v>687</v>
      </c>
      <c r="C320" s="17" t="str">
        <f>HYPERLINK("https://ra-matina.ru/?vendor_code=KRD171A3GGBB")</f>
        <v>https://ra-matina.ru/?vendor_code=KRD171A3GGBB</v>
      </c>
      <c r="D320" s="18" t="s">
        <v>18</v>
      </c>
      <c r="E320" s="19" t="s">
        <v>14</v>
      </c>
      <c r="F320" s="18" t="s">
        <v>15</v>
      </c>
      <c r="G320" s="20" t="s">
        <v>150</v>
      </c>
    </row>
    <row r="321" ht="13.5" customHeight="1">
      <c r="A321" s="15" t="s">
        <v>688</v>
      </c>
      <c r="B321" s="16" t="s">
        <v>689</v>
      </c>
      <c r="C321" s="17" t="str">
        <f>HYPERLINK("https://ra-matina.ru/?vendor_code=KrbilN105А")</f>
        <v>https://ra-matina.ru/?vendor_code=KrbilN105А</v>
      </c>
      <c r="D321" s="15" t="s">
        <v>28</v>
      </c>
      <c r="E321" s="19" t="s">
        <v>22</v>
      </c>
      <c r="F321" s="15" t="s">
        <v>15</v>
      </c>
      <c r="G321" s="21">
        <v>40100.0</v>
      </c>
    </row>
    <row r="322" ht="13.5" customHeight="1">
      <c r="A322" s="15" t="s">
        <v>690</v>
      </c>
      <c r="B322" s="16" t="s">
        <v>691</v>
      </c>
      <c r="C322" s="17" t="str">
        <f>HYPERLINK("https://ra-matina.ru/?vendor_code=KrbilN097А")</f>
        <v>https://ra-matina.ru/?vendor_code=KrbilN097А</v>
      </c>
      <c r="D322" s="15" t="s">
        <v>28</v>
      </c>
      <c r="E322" s="19" t="s">
        <v>22</v>
      </c>
      <c r="F322" s="15" t="s">
        <v>15</v>
      </c>
      <c r="G322" s="21">
        <v>30900.0</v>
      </c>
    </row>
    <row r="323" ht="13.5" customHeight="1">
      <c r="A323" s="15" t="s">
        <v>692</v>
      </c>
      <c r="B323" s="16" t="s">
        <v>693</v>
      </c>
      <c r="C323" s="17" t="str">
        <f>HYPERLINK("https://ra-matina.ru/?vendor_code=KrbilN099А")</f>
        <v>https://ra-matina.ru/?vendor_code=KrbilN099А</v>
      </c>
      <c r="D323" s="15" t="s">
        <v>28</v>
      </c>
      <c r="E323" s="19" t="s">
        <v>22</v>
      </c>
      <c r="F323" s="15" t="s">
        <v>15</v>
      </c>
      <c r="G323" s="21">
        <v>31900.0</v>
      </c>
    </row>
    <row r="324" ht="13.5" customHeight="1">
      <c r="A324" s="15" t="s">
        <v>694</v>
      </c>
      <c r="B324" s="16" t="s">
        <v>695</v>
      </c>
      <c r="C324" s="17" t="str">
        <f>HYPERLINK("https://ra-matina.ru/?vendor_code=КД0144А")</f>
        <v>https://ra-matina.ru/?vendor_code=КД0144А</v>
      </c>
      <c r="D324" s="15" t="s">
        <v>28</v>
      </c>
      <c r="E324" s="19" t="s">
        <v>22</v>
      </c>
      <c r="F324" s="15" t="s">
        <v>40</v>
      </c>
      <c r="G324" s="21">
        <v>26750.0</v>
      </c>
    </row>
    <row r="325" ht="13.5" customHeight="1">
      <c r="A325" s="15" t="s">
        <v>696</v>
      </c>
      <c r="B325" s="16" t="s">
        <v>697</v>
      </c>
      <c r="C325" s="17" t="str">
        <f>HYPERLINK("https://ra-matina.ru/?vendor_code=KrbilN095А1")</f>
        <v>https://ra-matina.ru/?vendor_code=KrbilN095А1</v>
      </c>
      <c r="D325" s="15" t="s">
        <v>43</v>
      </c>
      <c r="E325" s="19" t="s">
        <v>22</v>
      </c>
      <c r="F325" s="15" t="s">
        <v>15</v>
      </c>
      <c r="G325" s="21">
        <v>37600.0</v>
      </c>
    </row>
    <row r="326" ht="13.5" customHeight="1">
      <c r="A326" s="15" t="s">
        <v>698</v>
      </c>
      <c r="B326" s="16" t="s">
        <v>699</v>
      </c>
      <c r="C326" s="17" t="str">
        <f>HYPERLINK("https://ra-matina.ru/?vendor_code=KrbilN101А3")</f>
        <v>https://ra-matina.ru/?vendor_code=KrbilN101А3</v>
      </c>
      <c r="D326" s="15" t="s">
        <v>18</v>
      </c>
      <c r="E326" s="19" t="s">
        <v>700</v>
      </c>
      <c r="F326" s="15" t="s">
        <v>15</v>
      </c>
      <c r="G326" s="21">
        <v>60000.0</v>
      </c>
    </row>
    <row r="327" ht="13.5" customHeight="1">
      <c r="A327" s="15" t="s">
        <v>701</v>
      </c>
      <c r="B327" s="16" t="s">
        <v>702</v>
      </c>
      <c r="C327" s="17" t="str">
        <f>HYPERLINK("https://ra-matina.ru/?vendor_code=UM_364")</f>
        <v>https://ra-matina.ru/?vendor_code=UM_364</v>
      </c>
      <c r="D327" s="18" t="s">
        <v>21</v>
      </c>
      <c r="E327" s="22" t="s">
        <v>22</v>
      </c>
      <c r="F327" s="18" t="s">
        <v>15</v>
      </c>
      <c r="G327" s="20" t="s">
        <v>280</v>
      </c>
    </row>
    <row r="328" ht="13.5" customHeight="1">
      <c r="A328" s="15" t="s">
        <v>703</v>
      </c>
      <c r="B328" s="16" t="s">
        <v>704</v>
      </c>
      <c r="C328" s="17" t="str">
        <f>HYPERLINK("https://ra-matina.ru/?vendor_code=KrbilN102Б")</f>
        <v>https://ra-matina.ru/?vendor_code=KrbilN102Б</v>
      </c>
      <c r="D328" s="15" t="s">
        <v>21</v>
      </c>
      <c r="E328" s="19" t="s">
        <v>22</v>
      </c>
      <c r="F328" s="15" t="s">
        <v>40</v>
      </c>
      <c r="G328" s="21">
        <v>30200.0</v>
      </c>
    </row>
    <row r="329" ht="13.5" customHeight="1">
      <c r="A329" s="15" t="s">
        <v>705</v>
      </c>
      <c r="B329" s="16" t="s">
        <v>706</v>
      </c>
      <c r="C329" s="17" t="str">
        <f>HYPERLINK("https://ra-matina.ru/?vendor_code=KrbilN095А0")</f>
        <v>https://ra-matina.ru/?vendor_code=KrbilN095А0</v>
      </c>
      <c r="D329" s="15" t="s">
        <v>28</v>
      </c>
      <c r="E329" s="19" t="s">
        <v>22</v>
      </c>
      <c r="F329" s="15" t="s">
        <v>15</v>
      </c>
      <c r="G329" s="21">
        <v>29700.0</v>
      </c>
    </row>
    <row r="330" ht="13.5" customHeight="1">
      <c r="A330" s="15" t="s">
        <v>707</v>
      </c>
      <c r="B330" s="16" t="s">
        <v>708</v>
      </c>
      <c r="C330" s="17" t="str">
        <f>HYPERLINK("https://ra-matina.ru/?vendor_code=art_206")</f>
        <v>https://ra-matina.ru/?vendor_code=art_206</v>
      </c>
      <c r="D330" s="18" t="s">
        <v>43</v>
      </c>
      <c r="E330" s="19" t="s">
        <v>14</v>
      </c>
      <c r="F330" s="18" t="s">
        <v>15</v>
      </c>
      <c r="G330" s="20" t="s">
        <v>284</v>
      </c>
    </row>
    <row r="331" ht="13.5" customHeight="1">
      <c r="A331" s="15" t="s">
        <v>709</v>
      </c>
      <c r="B331" s="16" t="s">
        <v>710</v>
      </c>
      <c r="C331" s="17" t="str">
        <f>HYPERLINK("https://ra-matina.ru/?vendor_code=KrbilN095А3")</f>
        <v>https://ra-matina.ru/?vendor_code=KrbilN095А3</v>
      </c>
      <c r="D331" s="15" t="s">
        <v>18</v>
      </c>
      <c r="E331" s="19" t="s">
        <v>14</v>
      </c>
      <c r="F331" s="15" t="s">
        <v>15</v>
      </c>
      <c r="G331" s="21">
        <v>33500.0</v>
      </c>
    </row>
    <row r="332" ht="13.5" customHeight="1">
      <c r="A332" s="15" t="s">
        <v>711</v>
      </c>
      <c r="B332" s="16" t="s">
        <v>712</v>
      </c>
      <c r="C332" s="17" t="str">
        <f>HYPERLINK("https://ra-matina.ru/?vendor_code=KrbilN106А3")</f>
        <v>https://ra-matina.ru/?vendor_code=KrbilN106А3</v>
      </c>
      <c r="D332" s="15" t="s">
        <v>18</v>
      </c>
      <c r="E332" s="19" t="s">
        <v>713</v>
      </c>
      <c r="F332" s="15" t="s">
        <v>40</v>
      </c>
      <c r="G332" s="21">
        <v>27000.0</v>
      </c>
    </row>
    <row r="333" ht="13.5" customHeight="1">
      <c r="A333" s="15" t="s">
        <v>714</v>
      </c>
      <c r="B333" s="16" t="s">
        <v>715</v>
      </c>
      <c r="C333" s="17" t="str">
        <f>HYPERLINK("https://ra-matina.ru/?vendor_code=KrbilN104А")</f>
        <v>https://ra-matina.ru/?vendor_code=KrbilN104А</v>
      </c>
      <c r="D333" s="15" t="s">
        <v>28</v>
      </c>
      <c r="E333" s="19" t="s">
        <v>22</v>
      </c>
      <c r="F333" s="15" t="s">
        <v>40</v>
      </c>
      <c r="G333" s="21">
        <v>27500.0</v>
      </c>
    </row>
    <row r="334" ht="13.5" customHeight="1">
      <c r="A334" s="15" t="s">
        <v>716</v>
      </c>
      <c r="B334" s="16" t="s">
        <v>717</v>
      </c>
      <c r="C334" s="17" t="str">
        <f>HYPERLINK("https://ra-matina.ru/?vendor_code=КД0034А1")</f>
        <v>https://ra-matina.ru/?vendor_code=КД0034А1</v>
      </c>
      <c r="D334" s="15" t="s">
        <v>28</v>
      </c>
      <c r="E334" s="19" t="s">
        <v>22</v>
      </c>
      <c r="F334" s="15" t="s">
        <v>40</v>
      </c>
      <c r="G334" s="21">
        <v>24750.0</v>
      </c>
    </row>
    <row r="335" ht="13.5" customHeight="1">
      <c r="A335" s="15" t="s">
        <v>718</v>
      </c>
      <c r="B335" s="16" t="s">
        <v>719</v>
      </c>
      <c r="C335" s="17" t="str">
        <f>HYPERLINK("https://ra-matina.ru/?vendor_code=art_005")</f>
        <v>https://ra-matina.ru/?vendor_code=art_005</v>
      </c>
      <c r="D335" s="18" t="s">
        <v>28</v>
      </c>
      <c r="E335" s="22" t="s">
        <v>22</v>
      </c>
      <c r="F335" s="18" t="s">
        <v>40</v>
      </c>
      <c r="G335" s="20" t="s">
        <v>624</v>
      </c>
    </row>
    <row r="336" ht="13.5" customHeight="1">
      <c r="A336" s="15" t="s">
        <v>720</v>
      </c>
      <c r="B336" s="16" t="s">
        <v>721</v>
      </c>
      <c r="C336" s="17" t="str">
        <f>HYPERLINK("https://ra-matina.ru/?vendor_code=KrbilN105А1")</f>
        <v>https://ra-matina.ru/?vendor_code=KrbilN105А1</v>
      </c>
      <c r="D336" s="15" t="s">
        <v>28</v>
      </c>
      <c r="E336" s="19" t="s">
        <v>22</v>
      </c>
      <c r="F336" s="15" t="s">
        <v>40</v>
      </c>
      <c r="G336" s="21">
        <v>31900.0</v>
      </c>
    </row>
    <row r="337" ht="13.5" customHeight="1">
      <c r="A337" s="15" t="s">
        <v>722</v>
      </c>
      <c r="B337" s="16" t="s">
        <v>723</v>
      </c>
      <c r="C337" s="17" t="str">
        <f>HYPERLINK("https://ra-matina.ru/?vendor_code=KrbilN107А")</f>
        <v>https://ra-matina.ru/?vendor_code=KrbilN107А</v>
      </c>
      <c r="D337" s="15" t="s">
        <v>28</v>
      </c>
      <c r="E337" s="19" t="s">
        <v>22</v>
      </c>
      <c r="F337" s="15" t="s">
        <v>40</v>
      </c>
      <c r="G337" s="21">
        <v>25000.0</v>
      </c>
    </row>
    <row r="338" ht="13.5" customHeight="1">
      <c r="A338" s="15" t="s">
        <v>724</v>
      </c>
      <c r="B338" s="16" t="s">
        <v>725</v>
      </c>
      <c r="C338" s="17" t="str">
        <f>HYPERLINK("https://ra-matina.ru/?vendor_code=К025")</f>
        <v>https://ra-matina.ru/?vendor_code=К025</v>
      </c>
      <c r="D338" s="23" t="s">
        <v>31</v>
      </c>
      <c r="E338" s="22" t="s">
        <v>22</v>
      </c>
      <c r="F338" s="18" t="s">
        <v>15</v>
      </c>
      <c r="G338" s="20" t="s">
        <v>132</v>
      </c>
    </row>
    <row r="339" ht="13.5" customHeight="1">
      <c r="A339" s="15" t="s">
        <v>726</v>
      </c>
      <c r="B339" s="16" t="s">
        <v>727</v>
      </c>
      <c r="C339" s="17" t="str">
        <f>HYPERLINK("https://ra-matina.ru/?vendor_code=К026")</f>
        <v>https://ra-matina.ru/?vendor_code=К026</v>
      </c>
      <c r="D339" s="23" t="s">
        <v>21</v>
      </c>
      <c r="E339" s="22" t="s">
        <v>22</v>
      </c>
      <c r="F339" s="18" t="s">
        <v>15</v>
      </c>
      <c r="G339" s="20" t="s">
        <v>132</v>
      </c>
    </row>
    <row r="340" ht="13.5" customHeight="1">
      <c r="A340" s="15" t="s">
        <v>728</v>
      </c>
      <c r="B340" s="16" t="s">
        <v>729</v>
      </c>
      <c r="C340" s="17" t="str">
        <f>HYPERLINK("https://ra-matina.ru/?vendor_code=KrbilN096А")</f>
        <v>https://ra-matina.ru/?vendor_code=KrbilN096А</v>
      </c>
      <c r="D340" s="15" t="s">
        <v>28</v>
      </c>
      <c r="E340" s="19" t="s">
        <v>22</v>
      </c>
      <c r="F340" s="15" t="s">
        <v>40</v>
      </c>
      <c r="G340" s="21">
        <v>32900.0</v>
      </c>
    </row>
    <row r="341" ht="13.5" customHeight="1">
      <c r="A341" s="15" t="s">
        <v>730</v>
      </c>
      <c r="B341" s="16" t="s">
        <v>731</v>
      </c>
      <c r="C341" s="17" t="str">
        <f>HYPERLINK("https://ra-matina.ru/?vendor_code=KrbilN100Б")</f>
        <v>https://ra-matina.ru/?vendor_code=KrbilN100Б</v>
      </c>
      <c r="D341" s="15" t="s">
        <v>21</v>
      </c>
      <c r="E341" s="19" t="s">
        <v>22</v>
      </c>
      <c r="F341" s="15" t="s">
        <v>15</v>
      </c>
      <c r="G341" s="21">
        <v>30900.0</v>
      </c>
    </row>
    <row r="342" ht="13.5" customHeight="1">
      <c r="A342" s="15" t="s">
        <v>732</v>
      </c>
      <c r="B342" s="16" t="s">
        <v>733</v>
      </c>
      <c r="C342" s="17" t="str">
        <f>HYPERLINK("https://ra-matina.ru/?vendor_code=К_030A")</f>
        <v>https://ra-matina.ru/?vendor_code=К_030A</v>
      </c>
      <c r="D342" s="18" t="s">
        <v>28</v>
      </c>
      <c r="E342" s="22" t="s">
        <v>22</v>
      </c>
      <c r="F342" s="18" t="s">
        <v>15</v>
      </c>
      <c r="G342" s="20" t="s">
        <v>220</v>
      </c>
    </row>
    <row r="343" ht="13.5" customHeight="1">
      <c r="A343" s="15" t="s">
        <v>734</v>
      </c>
      <c r="B343" s="16" t="s">
        <v>733</v>
      </c>
      <c r="C343" s="17" t="str">
        <f>HYPERLINK("https://ra-matina.ru/?vendor_code=К_030")</f>
        <v>https://ra-matina.ru/?vendor_code=К_030</v>
      </c>
      <c r="D343" s="18" t="s">
        <v>21</v>
      </c>
      <c r="E343" s="22" t="s">
        <v>22</v>
      </c>
      <c r="F343" s="18" t="s">
        <v>15</v>
      </c>
      <c r="G343" s="20" t="s">
        <v>59</v>
      </c>
    </row>
    <row r="344" ht="13.5" customHeight="1">
      <c r="A344" s="15" t="s">
        <v>735</v>
      </c>
      <c r="B344" s="16" t="s">
        <v>736</v>
      </c>
      <c r="C344" s="17" t="str">
        <f>HYPERLINK("https://ra-matina.ru/?vendor_code=К_031A")</f>
        <v>https://ra-matina.ru/?vendor_code=К_031A</v>
      </c>
      <c r="D344" s="18" t="s">
        <v>28</v>
      </c>
      <c r="E344" s="22" t="s">
        <v>22</v>
      </c>
      <c r="F344" s="18" t="s">
        <v>15</v>
      </c>
      <c r="G344" s="20" t="s">
        <v>220</v>
      </c>
    </row>
    <row r="345" ht="13.5" customHeight="1">
      <c r="A345" s="15" t="s">
        <v>737</v>
      </c>
      <c r="B345" s="16" t="s">
        <v>736</v>
      </c>
      <c r="C345" s="17" t="str">
        <f>HYPERLINK("https://ra-matina.ru/?vendor_code=К_031B")</f>
        <v>https://ra-matina.ru/?vendor_code=К_031B</v>
      </c>
      <c r="D345" s="18" t="s">
        <v>21</v>
      </c>
      <c r="E345" s="22" t="s">
        <v>22</v>
      </c>
      <c r="F345" s="18" t="s">
        <v>15</v>
      </c>
      <c r="G345" s="20" t="s">
        <v>220</v>
      </c>
    </row>
    <row r="346" ht="13.5" customHeight="1">
      <c r="A346" s="15" t="s">
        <v>738</v>
      </c>
      <c r="B346" s="16" t="s">
        <v>739</v>
      </c>
      <c r="C346" s="17" t="str">
        <f>HYPERLINK("https://ra-matina.ru/?vendor_code=К_029A")</f>
        <v>https://ra-matina.ru/?vendor_code=К_029A</v>
      </c>
      <c r="D346" s="18" t="s">
        <v>28</v>
      </c>
      <c r="E346" s="22" t="s">
        <v>22</v>
      </c>
      <c r="F346" s="18" t="s">
        <v>15</v>
      </c>
      <c r="G346" s="20" t="s">
        <v>220</v>
      </c>
    </row>
    <row r="347" ht="13.5" customHeight="1">
      <c r="A347" s="15" t="s">
        <v>740</v>
      </c>
      <c r="B347" s="16" t="s">
        <v>739</v>
      </c>
      <c r="C347" s="17" t="str">
        <f>HYPERLINK("https://ra-matina.ru/?vendor_code=К_029B")</f>
        <v>https://ra-matina.ru/?vendor_code=К_029B</v>
      </c>
      <c r="D347" s="18" t="s">
        <v>21</v>
      </c>
      <c r="E347" s="22" t="s">
        <v>22</v>
      </c>
      <c r="F347" s="18" t="s">
        <v>15</v>
      </c>
      <c r="G347" s="20" t="s">
        <v>59</v>
      </c>
    </row>
    <row r="348" ht="13.5" customHeight="1">
      <c r="A348" s="15" t="s">
        <v>741</v>
      </c>
      <c r="B348" s="16" t="s">
        <v>742</v>
      </c>
      <c r="C348" s="17" t="str">
        <f>HYPERLINK("https://ra-matina.ru/?vendor_code=KrbilN108А1")</f>
        <v>https://ra-matina.ru/?vendor_code=KrbilN108А1</v>
      </c>
      <c r="D348" s="15" t="s">
        <v>43</v>
      </c>
      <c r="E348" s="19" t="s">
        <v>14</v>
      </c>
      <c r="F348" s="15" t="s">
        <v>15</v>
      </c>
      <c r="G348" s="25" t="s">
        <v>743</v>
      </c>
    </row>
    <row r="349" ht="13.5" customHeight="1">
      <c r="A349" s="15" t="s">
        <v>744</v>
      </c>
      <c r="B349" s="16" t="s">
        <v>745</v>
      </c>
      <c r="C349" s="17" t="str">
        <f>HYPERLINK("https://ra-matina.ru/?vendor_code=art_635")</f>
        <v>https://ra-matina.ru/?vendor_code=art_635</v>
      </c>
      <c r="D349" s="18" t="s">
        <v>13</v>
      </c>
      <c r="E349" s="19" t="s">
        <v>14</v>
      </c>
      <c r="F349" s="18" t="s">
        <v>15</v>
      </c>
      <c r="G349" s="20" t="s">
        <v>16</v>
      </c>
    </row>
    <row r="350" ht="15.75" customHeight="1">
      <c r="A350" s="38"/>
      <c r="B350" s="38"/>
      <c r="C350" s="39"/>
      <c r="D350" s="38"/>
      <c r="E350" s="38"/>
      <c r="F350" s="38"/>
      <c r="G350" s="38"/>
    </row>
    <row r="351" ht="15.75" customHeight="1">
      <c r="A351" s="38"/>
      <c r="B351" s="38"/>
      <c r="C351" s="39"/>
      <c r="D351" s="38"/>
      <c r="E351" s="38"/>
      <c r="F351" s="38"/>
      <c r="G351" s="38"/>
    </row>
    <row r="352" ht="15.75" customHeight="1">
      <c r="A352" s="38"/>
      <c r="B352" s="38"/>
      <c r="C352" s="39"/>
      <c r="D352" s="38"/>
      <c r="E352" s="38"/>
      <c r="F352" s="38"/>
      <c r="G352" s="38"/>
    </row>
    <row r="353" ht="15.75" customHeight="1">
      <c r="A353" s="38"/>
      <c r="B353" s="38"/>
      <c r="C353" s="39"/>
      <c r="D353" s="38"/>
      <c r="E353" s="38"/>
      <c r="F353" s="38"/>
      <c r="G353" s="38"/>
    </row>
    <row r="354" ht="15.75" customHeight="1">
      <c r="A354" s="38"/>
      <c r="B354" s="38"/>
      <c r="C354" s="39"/>
      <c r="D354" s="38"/>
      <c r="E354" s="38"/>
      <c r="F354" s="38"/>
      <c r="G354" s="38"/>
    </row>
    <row r="355" ht="15.75" customHeight="1">
      <c r="A355" s="38"/>
      <c r="B355" s="38"/>
      <c r="C355" s="39"/>
      <c r="D355" s="38"/>
      <c r="E355" s="38"/>
      <c r="F355" s="38"/>
      <c r="G355" s="38"/>
    </row>
    <row r="356" ht="15.75" customHeight="1">
      <c r="A356" s="38"/>
      <c r="B356" s="38"/>
      <c r="C356" s="39"/>
      <c r="D356" s="38"/>
      <c r="E356" s="38"/>
      <c r="F356" s="38"/>
      <c r="G356" s="38"/>
    </row>
    <row r="357" ht="15.75" customHeight="1">
      <c r="A357" s="38"/>
      <c r="B357" s="38"/>
      <c r="C357" s="39"/>
      <c r="D357" s="38"/>
      <c r="E357" s="38"/>
      <c r="F357" s="38"/>
      <c r="G357" s="38"/>
    </row>
    <row r="358" ht="15.75" customHeight="1">
      <c r="A358" s="38"/>
      <c r="B358" s="38"/>
      <c r="C358" s="39"/>
      <c r="D358" s="38"/>
      <c r="E358" s="38"/>
      <c r="F358" s="38"/>
      <c r="G358" s="38"/>
    </row>
    <row r="359" ht="15.75" customHeight="1">
      <c r="A359" s="38"/>
      <c r="B359" s="38"/>
      <c r="C359" s="39"/>
      <c r="D359" s="38"/>
      <c r="E359" s="38"/>
      <c r="F359" s="38"/>
      <c r="G359" s="38"/>
    </row>
    <row r="360" ht="15.75" customHeight="1">
      <c r="A360" s="38"/>
      <c r="B360" s="38"/>
      <c r="C360" s="39"/>
      <c r="D360" s="38"/>
      <c r="E360" s="38"/>
      <c r="F360" s="38"/>
      <c r="G360" s="38"/>
    </row>
    <row r="361" ht="15.75" customHeight="1">
      <c r="A361" s="38"/>
      <c r="B361" s="38"/>
      <c r="C361" s="39"/>
      <c r="D361" s="38"/>
      <c r="E361" s="38"/>
      <c r="F361" s="38"/>
      <c r="G361" s="38"/>
    </row>
    <row r="362" ht="15.75" customHeight="1">
      <c r="A362" s="38"/>
      <c r="B362" s="38"/>
      <c r="C362" s="39"/>
      <c r="D362" s="38"/>
      <c r="E362" s="38"/>
      <c r="F362" s="38"/>
      <c r="G362" s="38"/>
    </row>
    <row r="363" ht="15.75" customHeight="1">
      <c r="A363" s="38"/>
      <c r="B363" s="38"/>
      <c r="C363" s="39"/>
      <c r="D363" s="38"/>
      <c r="E363" s="38"/>
      <c r="F363" s="38"/>
      <c r="G363" s="38"/>
    </row>
    <row r="364" ht="15.75" customHeight="1">
      <c r="A364" s="38"/>
      <c r="B364" s="38"/>
      <c r="C364" s="39"/>
      <c r="D364" s="38"/>
      <c r="E364" s="38"/>
      <c r="F364" s="38"/>
      <c r="G364" s="38"/>
    </row>
    <row r="365" ht="15.75" customHeight="1">
      <c r="A365" s="38"/>
      <c r="B365" s="38"/>
      <c r="C365" s="39"/>
      <c r="D365" s="38"/>
      <c r="E365" s="38"/>
      <c r="F365" s="38"/>
      <c r="G365" s="38"/>
    </row>
    <row r="366" ht="15.75" customHeight="1">
      <c r="A366" s="38"/>
      <c r="B366" s="38"/>
      <c r="C366" s="39"/>
      <c r="D366" s="38"/>
      <c r="E366" s="38"/>
      <c r="F366" s="38"/>
      <c r="G366" s="38"/>
    </row>
    <row r="367" ht="15.75" customHeight="1">
      <c r="A367" s="38"/>
      <c r="B367" s="38"/>
      <c r="C367" s="39"/>
      <c r="D367" s="38"/>
      <c r="E367" s="38"/>
      <c r="F367" s="38"/>
      <c r="G367" s="38"/>
    </row>
    <row r="368" ht="15.75" customHeight="1">
      <c r="A368" s="38"/>
      <c r="B368" s="38"/>
      <c r="C368" s="39"/>
      <c r="D368" s="38"/>
      <c r="E368" s="38"/>
      <c r="F368" s="38"/>
      <c r="G368" s="38"/>
    </row>
    <row r="369" ht="15.75" customHeight="1">
      <c r="A369" s="38"/>
      <c r="B369" s="38"/>
      <c r="C369" s="39"/>
      <c r="D369" s="38"/>
      <c r="E369" s="38"/>
      <c r="F369" s="38"/>
      <c r="G369" s="38"/>
    </row>
    <row r="370" ht="15.75" customHeight="1">
      <c r="A370" s="38"/>
      <c r="B370" s="38"/>
      <c r="C370" s="39"/>
      <c r="D370" s="38"/>
      <c r="E370" s="38"/>
      <c r="F370" s="38"/>
      <c r="G370" s="38"/>
    </row>
    <row r="371" ht="15.75" customHeight="1">
      <c r="A371" s="38"/>
      <c r="B371" s="38"/>
      <c r="C371" s="39"/>
      <c r="D371" s="38"/>
      <c r="E371" s="38"/>
      <c r="F371" s="38"/>
      <c r="G371" s="38"/>
    </row>
    <row r="372" ht="15.75" customHeight="1">
      <c r="A372" s="38"/>
      <c r="B372" s="38"/>
      <c r="C372" s="39"/>
      <c r="D372" s="38"/>
      <c r="E372" s="38"/>
      <c r="F372" s="38"/>
      <c r="G372" s="38"/>
    </row>
    <row r="373" ht="15.75" customHeight="1">
      <c r="A373" s="38"/>
      <c r="B373" s="38"/>
      <c r="C373" s="39"/>
      <c r="D373" s="38"/>
      <c r="E373" s="38"/>
      <c r="F373" s="38"/>
      <c r="G373" s="38"/>
    </row>
    <row r="374" ht="15.75" customHeight="1">
      <c r="A374" s="38"/>
      <c r="B374" s="38"/>
      <c r="C374" s="39"/>
      <c r="D374" s="38"/>
      <c r="E374" s="38"/>
      <c r="F374" s="38"/>
      <c r="G374" s="38"/>
    </row>
    <row r="375" ht="15.75" customHeight="1">
      <c r="A375" s="38"/>
      <c r="B375" s="38"/>
      <c r="C375" s="39"/>
      <c r="D375" s="38"/>
      <c r="E375" s="38"/>
      <c r="F375" s="38"/>
      <c r="G375" s="38"/>
    </row>
    <row r="376" ht="15.75" customHeight="1">
      <c r="A376" s="38"/>
      <c r="B376" s="38"/>
      <c r="C376" s="39"/>
      <c r="D376" s="38"/>
      <c r="E376" s="38"/>
      <c r="F376" s="38"/>
      <c r="G376" s="38"/>
    </row>
    <row r="377" ht="15.75" customHeight="1">
      <c r="A377" s="38"/>
      <c r="B377" s="38"/>
      <c r="C377" s="39"/>
      <c r="D377" s="38"/>
      <c r="E377" s="38"/>
      <c r="F377" s="38"/>
      <c r="G377" s="38"/>
    </row>
    <row r="378" ht="15.75" customHeight="1">
      <c r="A378" s="38"/>
      <c r="B378" s="38"/>
      <c r="C378" s="39"/>
      <c r="D378" s="38"/>
      <c r="E378" s="38"/>
      <c r="F378" s="38"/>
      <c r="G378" s="38"/>
    </row>
    <row r="379" ht="15.75" customHeight="1">
      <c r="A379" s="38"/>
      <c r="B379" s="38"/>
      <c r="C379" s="39"/>
      <c r="D379" s="38"/>
      <c r="E379" s="38"/>
      <c r="F379" s="38"/>
      <c r="G379" s="38"/>
    </row>
    <row r="380" ht="15.75" customHeight="1">
      <c r="A380" s="38"/>
      <c r="B380" s="38"/>
      <c r="C380" s="39"/>
      <c r="D380" s="38"/>
      <c r="E380" s="38"/>
      <c r="F380" s="38"/>
      <c r="G380" s="38"/>
    </row>
    <row r="381" ht="15.75" customHeight="1">
      <c r="A381" s="38"/>
      <c r="B381" s="38"/>
      <c r="C381" s="39"/>
      <c r="D381" s="38"/>
      <c r="E381" s="38"/>
      <c r="F381" s="38"/>
      <c r="G381" s="38"/>
    </row>
    <row r="382" ht="15.75" customHeight="1">
      <c r="A382" s="38"/>
      <c r="B382" s="38"/>
      <c r="C382" s="39"/>
      <c r="D382" s="38"/>
      <c r="E382" s="38"/>
      <c r="F382" s="38"/>
      <c r="G382" s="38"/>
    </row>
    <row r="383" ht="15.75" customHeight="1">
      <c r="A383" s="38"/>
      <c r="B383" s="38"/>
      <c r="C383" s="39"/>
      <c r="D383" s="38"/>
      <c r="E383" s="38"/>
      <c r="F383" s="38"/>
      <c r="G383" s="38"/>
    </row>
    <row r="384" ht="15.75" customHeight="1">
      <c r="A384" s="38"/>
      <c r="B384" s="38"/>
      <c r="C384" s="39"/>
      <c r="D384" s="38"/>
      <c r="E384" s="38"/>
      <c r="F384" s="38"/>
      <c r="G384" s="38"/>
    </row>
    <row r="385" ht="15.75" customHeight="1">
      <c r="A385" s="38"/>
      <c r="B385" s="38"/>
      <c r="C385" s="39"/>
      <c r="D385" s="38"/>
      <c r="E385" s="38"/>
      <c r="F385" s="38"/>
      <c r="G385" s="38"/>
    </row>
    <row r="386" ht="15.75" customHeight="1">
      <c r="A386" s="38"/>
      <c r="B386" s="38"/>
      <c r="C386" s="39"/>
      <c r="D386" s="38"/>
      <c r="E386" s="38"/>
      <c r="F386" s="38"/>
      <c r="G386" s="38"/>
    </row>
    <row r="387" ht="15.75" customHeight="1">
      <c r="A387" s="38"/>
      <c r="B387" s="38"/>
      <c r="C387" s="39"/>
      <c r="D387" s="38"/>
      <c r="E387" s="38"/>
      <c r="F387" s="38"/>
      <c r="G387" s="38"/>
    </row>
    <row r="388" ht="15.75" customHeight="1">
      <c r="A388" s="38"/>
      <c r="B388" s="38"/>
      <c r="C388" s="39"/>
      <c r="D388" s="38"/>
      <c r="E388" s="38"/>
      <c r="F388" s="38"/>
      <c r="G388" s="38"/>
    </row>
    <row r="389" ht="15.75" customHeight="1">
      <c r="A389" s="38"/>
      <c r="B389" s="38"/>
      <c r="C389" s="39"/>
      <c r="D389" s="38"/>
      <c r="E389" s="38"/>
      <c r="F389" s="38"/>
      <c r="G389" s="38"/>
    </row>
    <row r="390" ht="15.75" customHeight="1">
      <c r="A390" s="38"/>
      <c r="B390" s="38"/>
      <c r="C390" s="39"/>
      <c r="D390" s="38"/>
      <c r="E390" s="38"/>
      <c r="F390" s="38"/>
      <c r="G390" s="38"/>
    </row>
    <row r="391" ht="15.75" customHeight="1">
      <c r="A391" s="38"/>
      <c r="B391" s="38"/>
      <c r="C391" s="39"/>
      <c r="D391" s="38"/>
      <c r="E391" s="38"/>
      <c r="F391" s="38"/>
      <c r="G391" s="38"/>
    </row>
    <row r="392" ht="15.75" customHeight="1">
      <c r="A392" s="38"/>
      <c r="B392" s="38"/>
      <c r="C392" s="39"/>
      <c r="D392" s="38"/>
      <c r="E392" s="38"/>
      <c r="F392" s="38"/>
      <c r="G392" s="38"/>
    </row>
    <row r="393" ht="15.75" customHeight="1">
      <c r="A393" s="38"/>
      <c r="B393" s="38"/>
      <c r="C393" s="39"/>
      <c r="D393" s="38"/>
      <c r="E393" s="38"/>
      <c r="F393" s="38"/>
      <c r="G393" s="38"/>
    </row>
    <row r="394" ht="15.75" customHeight="1">
      <c r="A394" s="38"/>
      <c r="B394" s="38"/>
      <c r="C394" s="39"/>
      <c r="D394" s="38"/>
      <c r="E394" s="38"/>
      <c r="F394" s="38"/>
      <c r="G394" s="38"/>
    </row>
    <row r="395" ht="15.75" customHeight="1">
      <c r="A395" s="38"/>
      <c r="B395" s="38"/>
      <c r="C395" s="39"/>
      <c r="D395" s="38"/>
      <c r="E395" s="38"/>
      <c r="F395" s="38"/>
      <c r="G395" s="38"/>
    </row>
    <row r="396" ht="15.75" customHeight="1">
      <c r="A396" s="38"/>
      <c r="B396" s="38"/>
      <c r="C396" s="39"/>
      <c r="D396" s="38"/>
      <c r="E396" s="38"/>
      <c r="F396" s="38"/>
      <c r="G396" s="38"/>
    </row>
    <row r="397" ht="15.75" customHeight="1">
      <c r="A397" s="38"/>
      <c r="B397" s="38"/>
      <c r="C397" s="39"/>
      <c r="D397" s="38"/>
      <c r="E397" s="38"/>
      <c r="F397" s="38"/>
      <c r="G397" s="38"/>
    </row>
    <row r="398" ht="15.75" customHeight="1">
      <c r="A398" s="38"/>
      <c r="B398" s="38"/>
      <c r="C398" s="39"/>
      <c r="D398" s="38"/>
      <c r="E398" s="38"/>
      <c r="F398" s="38"/>
      <c r="G398" s="38"/>
    </row>
    <row r="399" ht="15.75" customHeight="1">
      <c r="A399" s="38"/>
      <c r="B399" s="38"/>
      <c r="C399" s="39"/>
      <c r="D399" s="38"/>
      <c r="E399" s="38"/>
      <c r="F399" s="38"/>
      <c r="G399" s="38"/>
    </row>
    <row r="400" ht="15.75" customHeight="1">
      <c r="A400" s="38"/>
      <c r="B400" s="38"/>
      <c r="C400" s="39"/>
      <c r="D400" s="38"/>
      <c r="E400" s="38"/>
      <c r="F400" s="38"/>
      <c r="G400" s="38"/>
    </row>
    <row r="401" ht="15.75" customHeight="1">
      <c r="A401" s="38"/>
      <c r="B401" s="38"/>
      <c r="C401" s="39"/>
      <c r="D401" s="38"/>
      <c r="E401" s="38"/>
      <c r="F401" s="38"/>
      <c r="G401" s="38"/>
    </row>
    <row r="402" ht="15.75" customHeight="1">
      <c r="A402" s="38"/>
      <c r="B402" s="38"/>
      <c r="C402" s="39"/>
      <c r="D402" s="38"/>
      <c r="E402" s="38"/>
      <c r="F402" s="38"/>
      <c r="G402" s="38"/>
    </row>
    <row r="403" ht="15.75" customHeight="1">
      <c r="A403" s="38"/>
      <c r="B403" s="38"/>
      <c r="C403" s="39"/>
      <c r="D403" s="38"/>
      <c r="E403" s="38"/>
      <c r="F403" s="38"/>
      <c r="G403" s="38"/>
    </row>
    <row r="404" ht="15.75" customHeight="1">
      <c r="A404" s="38"/>
      <c r="B404" s="38"/>
      <c r="C404" s="39"/>
      <c r="D404" s="38"/>
      <c r="E404" s="38"/>
      <c r="F404" s="38"/>
      <c r="G404" s="38"/>
    </row>
    <row r="405" ht="15.75" customHeight="1">
      <c r="A405" s="38"/>
      <c r="B405" s="38"/>
      <c r="C405" s="39"/>
      <c r="D405" s="38"/>
      <c r="E405" s="38"/>
      <c r="F405" s="38"/>
      <c r="G405" s="38"/>
    </row>
    <row r="406" ht="15.75" customHeight="1">
      <c r="A406" s="38"/>
      <c r="B406" s="38"/>
      <c r="C406" s="39"/>
      <c r="D406" s="38"/>
      <c r="E406" s="38"/>
      <c r="F406" s="38"/>
      <c r="G406" s="38"/>
    </row>
    <row r="407" ht="15.75" customHeight="1">
      <c r="A407" s="38"/>
      <c r="B407" s="38"/>
      <c r="C407" s="39"/>
      <c r="D407" s="38"/>
      <c r="E407" s="38"/>
      <c r="F407" s="38"/>
      <c r="G407" s="38"/>
    </row>
    <row r="408" ht="15.75" customHeight="1">
      <c r="A408" s="38"/>
      <c r="B408" s="38"/>
      <c r="C408" s="39"/>
      <c r="D408" s="38"/>
      <c r="E408" s="38"/>
      <c r="F408" s="38"/>
      <c r="G408" s="38"/>
    </row>
    <row r="409" ht="15.75" customHeight="1">
      <c r="A409" s="38"/>
      <c r="B409" s="38"/>
      <c r="C409" s="39"/>
      <c r="D409" s="38"/>
      <c r="E409" s="38"/>
      <c r="F409" s="38"/>
      <c r="G409" s="38"/>
    </row>
    <row r="410" ht="15.75" customHeight="1">
      <c r="A410" s="38"/>
      <c r="B410" s="38"/>
      <c r="C410" s="39"/>
      <c r="D410" s="38"/>
      <c r="E410" s="38"/>
      <c r="F410" s="38"/>
      <c r="G410" s="38"/>
    </row>
    <row r="411" ht="15.75" customHeight="1">
      <c r="A411" s="38"/>
      <c r="B411" s="38"/>
      <c r="C411" s="39"/>
      <c r="D411" s="38"/>
      <c r="E411" s="38"/>
      <c r="F411" s="38"/>
      <c r="G411" s="38"/>
    </row>
    <row r="412" ht="15.75" customHeight="1">
      <c r="A412" s="38"/>
      <c r="B412" s="38"/>
      <c r="C412" s="39"/>
      <c r="D412" s="38"/>
      <c r="E412" s="38"/>
      <c r="F412" s="38"/>
      <c r="G412" s="38"/>
    </row>
    <row r="413" ht="15.75" customHeight="1">
      <c r="A413" s="38"/>
      <c r="B413" s="38"/>
      <c r="C413" s="39"/>
      <c r="D413" s="38"/>
      <c r="E413" s="38"/>
      <c r="F413" s="38"/>
      <c r="G413" s="38"/>
    </row>
    <row r="414" ht="15.75" customHeight="1">
      <c r="A414" s="38"/>
      <c r="B414" s="38"/>
      <c r="C414" s="39"/>
      <c r="D414" s="38"/>
      <c r="E414" s="38"/>
      <c r="F414" s="38"/>
      <c r="G414" s="38"/>
    </row>
    <row r="415" ht="15.75" customHeight="1">
      <c r="A415" s="38"/>
      <c r="B415" s="38"/>
      <c r="C415" s="39"/>
      <c r="D415" s="38"/>
      <c r="E415" s="38"/>
      <c r="F415" s="38"/>
      <c r="G415" s="38"/>
    </row>
    <row r="416" ht="15.75" customHeight="1">
      <c r="A416" s="38"/>
      <c r="B416" s="38"/>
      <c r="C416" s="39"/>
      <c r="D416" s="38"/>
      <c r="E416" s="38"/>
      <c r="F416" s="38"/>
      <c r="G416" s="38"/>
    </row>
    <row r="417" ht="15.75" customHeight="1">
      <c r="A417" s="38"/>
      <c r="B417" s="38"/>
      <c r="C417" s="39"/>
      <c r="D417" s="38"/>
      <c r="E417" s="38"/>
      <c r="F417" s="38"/>
      <c r="G417" s="38"/>
    </row>
    <row r="418" ht="15.75" customHeight="1">
      <c r="A418" s="38"/>
      <c r="B418" s="38"/>
      <c r="C418" s="39"/>
      <c r="D418" s="38"/>
      <c r="E418" s="38"/>
      <c r="F418" s="38"/>
      <c r="G418" s="38"/>
    </row>
    <row r="419" ht="15.75" customHeight="1">
      <c r="A419" s="38"/>
      <c r="B419" s="38"/>
      <c r="C419" s="39"/>
      <c r="D419" s="38"/>
      <c r="E419" s="38"/>
      <c r="F419" s="38"/>
      <c r="G419" s="38"/>
    </row>
    <row r="420" ht="15.75" customHeight="1">
      <c r="A420" s="38"/>
      <c r="B420" s="38"/>
      <c r="C420" s="39"/>
      <c r="D420" s="38"/>
      <c r="E420" s="38"/>
      <c r="F420" s="38"/>
      <c r="G420" s="38"/>
    </row>
    <row r="421" ht="15.75" customHeight="1">
      <c r="A421" s="38"/>
      <c r="B421" s="38"/>
      <c r="C421" s="39"/>
      <c r="D421" s="38"/>
      <c r="E421" s="38"/>
      <c r="F421" s="38"/>
      <c r="G421" s="38"/>
    </row>
    <row r="422" ht="15.75" customHeight="1">
      <c r="A422" s="38"/>
      <c r="B422" s="38"/>
      <c r="C422" s="39"/>
      <c r="D422" s="38"/>
      <c r="E422" s="38"/>
      <c r="F422" s="38"/>
      <c r="G422" s="38"/>
    </row>
    <row r="423" ht="15.75" customHeight="1">
      <c r="A423" s="38"/>
      <c r="B423" s="38"/>
      <c r="C423" s="39"/>
      <c r="D423" s="38"/>
      <c r="E423" s="38"/>
      <c r="F423" s="38"/>
      <c r="G423" s="38"/>
    </row>
    <row r="424" ht="15.75" customHeight="1">
      <c r="A424" s="38"/>
      <c r="B424" s="38"/>
      <c r="C424" s="39"/>
      <c r="D424" s="38"/>
      <c r="E424" s="38"/>
      <c r="F424" s="38"/>
      <c r="G424" s="38"/>
    </row>
    <row r="425" ht="15.75" customHeight="1">
      <c r="A425" s="38"/>
      <c r="B425" s="38"/>
      <c r="C425" s="39"/>
      <c r="D425" s="38"/>
      <c r="E425" s="38"/>
      <c r="F425" s="38"/>
      <c r="G425" s="38"/>
    </row>
    <row r="426" ht="15.75" customHeight="1">
      <c r="A426" s="38"/>
      <c r="B426" s="38"/>
      <c r="C426" s="39"/>
      <c r="D426" s="38"/>
      <c r="E426" s="38"/>
      <c r="F426" s="38"/>
      <c r="G426" s="38"/>
    </row>
    <row r="427" ht="15.75" customHeight="1">
      <c r="A427" s="38"/>
      <c r="B427" s="38"/>
      <c r="C427" s="39"/>
      <c r="D427" s="38"/>
      <c r="E427" s="38"/>
      <c r="F427" s="38"/>
      <c r="G427" s="38"/>
    </row>
    <row r="428" ht="15.75" customHeight="1">
      <c r="A428" s="38"/>
      <c r="B428" s="38"/>
      <c r="C428" s="39"/>
      <c r="D428" s="38"/>
      <c r="E428" s="38"/>
      <c r="F428" s="38"/>
      <c r="G428" s="38"/>
    </row>
    <row r="429" ht="15.75" customHeight="1">
      <c r="A429" s="38"/>
      <c r="B429" s="38"/>
      <c r="C429" s="39"/>
      <c r="D429" s="38"/>
      <c r="E429" s="38"/>
      <c r="F429" s="38"/>
      <c r="G429" s="38"/>
    </row>
    <row r="430" ht="15.75" customHeight="1">
      <c r="A430" s="38"/>
      <c r="B430" s="38"/>
      <c r="C430" s="39"/>
      <c r="D430" s="38"/>
      <c r="E430" s="38"/>
      <c r="F430" s="38"/>
      <c r="G430" s="38"/>
    </row>
    <row r="431" ht="15.75" customHeight="1">
      <c r="A431" s="38"/>
      <c r="B431" s="38"/>
      <c r="C431" s="39"/>
      <c r="D431" s="38"/>
      <c r="E431" s="38"/>
      <c r="F431" s="38"/>
      <c r="G431" s="38"/>
    </row>
    <row r="432" ht="15.75" customHeight="1">
      <c r="A432" s="38"/>
      <c r="B432" s="38"/>
      <c r="C432" s="39"/>
      <c r="D432" s="38"/>
      <c r="E432" s="38"/>
      <c r="F432" s="38"/>
      <c r="G432" s="38"/>
    </row>
    <row r="433" ht="15.75" customHeight="1">
      <c r="A433" s="38"/>
      <c r="B433" s="38"/>
      <c r="C433" s="39"/>
      <c r="D433" s="38"/>
      <c r="E433" s="38"/>
      <c r="F433" s="38"/>
      <c r="G433" s="38"/>
    </row>
    <row r="434" ht="15.75" customHeight="1">
      <c r="A434" s="38"/>
      <c r="B434" s="38"/>
      <c r="C434" s="39"/>
      <c r="D434" s="38"/>
      <c r="E434" s="38"/>
      <c r="F434" s="38"/>
      <c r="G434" s="38"/>
    </row>
    <row r="435" ht="15.75" customHeight="1">
      <c r="A435" s="38"/>
      <c r="B435" s="38"/>
      <c r="C435" s="39"/>
      <c r="D435" s="38"/>
      <c r="E435" s="38"/>
      <c r="F435" s="38"/>
      <c r="G435" s="38"/>
    </row>
    <row r="436" ht="15.75" customHeight="1">
      <c r="A436" s="38"/>
      <c r="B436" s="38"/>
      <c r="C436" s="39"/>
      <c r="D436" s="38"/>
      <c r="E436" s="38"/>
      <c r="F436" s="38"/>
      <c r="G436" s="38"/>
    </row>
    <row r="437" ht="15.75" customHeight="1">
      <c r="A437" s="38"/>
      <c r="B437" s="38"/>
      <c r="C437" s="39"/>
      <c r="D437" s="38"/>
      <c r="E437" s="38"/>
      <c r="F437" s="38"/>
      <c r="G437" s="38"/>
    </row>
    <row r="438" ht="15.75" customHeight="1">
      <c r="A438" s="38"/>
      <c r="B438" s="38"/>
      <c r="C438" s="39"/>
      <c r="D438" s="38"/>
      <c r="E438" s="38"/>
      <c r="F438" s="38"/>
      <c r="G438" s="38"/>
    </row>
    <row r="439" ht="15.75" customHeight="1">
      <c r="A439" s="38"/>
      <c r="B439" s="38"/>
      <c r="C439" s="39"/>
      <c r="D439" s="38"/>
      <c r="E439" s="38"/>
      <c r="F439" s="38"/>
      <c r="G439" s="38"/>
    </row>
    <row r="440" ht="15.75" customHeight="1">
      <c r="A440" s="38"/>
      <c r="B440" s="38"/>
      <c r="C440" s="39"/>
      <c r="D440" s="38"/>
      <c r="E440" s="38"/>
      <c r="F440" s="38"/>
      <c r="G440" s="38"/>
    </row>
    <row r="441" ht="15.75" customHeight="1">
      <c r="A441" s="38"/>
      <c r="B441" s="38"/>
      <c r="C441" s="39"/>
      <c r="D441" s="38"/>
      <c r="E441" s="38"/>
      <c r="F441" s="38"/>
      <c r="G441" s="38"/>
    </row>
    <row r="442" ht="15.75" customHeight="1">
      <c r="A442" s="38"/>
      <c r="B442" s="38"/>
      <c r="C442" s="39"/>
      <c r="D442" s="38"/>
      <c r="E442" s="38"/>
      <c r="F442" s="38"/>
      <c r="G442" s="38"/>
    </row>
    <row r="443" ht="15.75" customHeight="1">
      <c r="A443" s="38"/>
      <c r="B443" s="38"/>
      <c r="C443" s="39"/>
      <c r="D443" s="38"/>
      <c r="E443" s="38"/>
      <c r="F443" s="38"/>
      <c r="G443" s="38"/>
    </row>
    <row r="444" ht="15.75" customHeight="1">
      <c r="A444" s="38"/>
      <c r="B444" s="38"/>
      <c r="C444" s="39"/>
      <c r="D444" s="38"/>
      <c r="E444" s="38"/>
      <c r="F444" s="38"/>
      <c r="G444" s="38"/>
    </row>
    <row r="445" ht="15.75" customHeight="1">
      <c r="A445" s="38"/>
      <c r="B445" s="38"/>
      <c r="C445" s="39"/>
      <c r="D445" s="38"/>
      <c r="E445" s="38"/>
      <c r="F445" s="38"/>
      <c r="G445" s="38"/>
    </row>
    <row r="446" ht="15.75" customHeight="1">
      <c r="A446" s="38"/>
      <c r="B446" s="38"/>
      <c r="C446" s="39"/>
      <c r="D446" s="38"/>
      <c r="E446" s="38"/>
      <c r="F446" s="38"/>
      <c r="G446" s="38"/>
    </row>
    <row r="447" ht="15.75" customHeight="1">
      <c r="A447" s="38"/>
      <c r="B447" s="38"/>
      <c r="C447" s="39"/>
      <c r="D447" s="38"/>
      <c r="E447" s="38"/>
      <c r="F447" s="38"/>
      <c r="G447" s="38"/>
    </row>
    <row r="448" ht="15.75" customHeight="1">
      <c r="A448" s="38"/>
      <c r="B448" s="38"/>
      <c r="C448" s="39"/>
      <c r="D448" s="38"/>
      <c r="E448" s="38"/>
      <c r="F448" s="38"/>
      <c r="G448" s="38"/>
    </row>
    <row r="449" ht="15.75" customHeight="1">
      <c r="A449" s="38"/>
      <c r="B449" s="38"/>
      <c r="C449" s="39"/>
      <c r="D449" s="38"/>
      <c r="E449" s="38"/>
      <c r="F449" s="38"/>
      <c r="G449" s="38"/>
    </row>
    <row r="450" ht="15.75" customHeight="1">
      <c r="A450" s="38"/>
      <c r="B450" s="38"/>
      <c r="C450" s="39"/>
      <c r="D450" s="38"/>
      <c r="E450" s="38"/>
      <c r="F450" s="38"/>
      <c r="G450" s="38"/>
    </row>
    <row r="451" ht="15.75" customHeight="1">
      <c r="A451" s="38"/>
      <c r="B451" s="38"/>
      <c r="C451" s="39"/>
      <c r="D451" s="38"/>
      <c r="E451" s="38"/>
      <c r="F451" s="38"/>
      <c r="G451" s="38"/>
    </row>
    <row r="452" ht="15.75" customHeight="1">
      <c r="A452" s="38"/>
      <c r="B452" s="38"/>
      <c r="C452" s="39"/>
      <c r="D452" s="38"/>
      <c r="E452" s="38"/>
      <c r="F452" s="38"/>
      <c r="G452" s="38"/>
    </row>
    <row r="453" ht="15.75" customHeight="1">
      <c r="A453" s="38"/>
      <c r="B453" s="38"/>
      <c r="C453" s="39"/>
      <c r="D453" s="38"/>
      <c r="E453" s="38"/>
      <c r="F453" s="38"/>
      <c r="G453" s="38"/>
    </row>
    <row r="454" ht="15.75" customHeight="1">
      <c r="A454" s="38"/>
      <c r="B454" s="38"/>
      <c r="C454" s="39"/>
      <c r="D454" s="38"/>
      <c r="E454" s="38"/>
      <c r="F454" s="38"/>
      <c r="G454" s="38"/>
    </row>
    <row r="455" ht="15.75" customHeight="1">
      <c r="A455" s="38"/>
      <c r="B455" s="38"/>
      <c r="C455" s="39"/>
      <c r="D455" s="38"/>
      <c r="E455" s="38"/>
      <c r="F455" s="38"/>
      <c r="G455" s="38"/>
    </row>
    <row r="456" ht="15.75" customHeight="1">
      <c r="A456" s="38"/>
      <c r="B456" s="38"/>
      <c r="C456" s="39"/>
      <c r="D456" s="38"/>
      <c r="E456" s="38"/>
      <c r="F456" s="38"/>
      <c r="G456" s="38"/>
    </row>
    <row r="457" ht="15.75" customHeight="1">
      <c r="A457" s="38"/>
      <c r="B457" s="38"/>
      <c r="C457" s="39"/>
      <c r="D457" s="38"/>
      <c r="E457" s="38"/>
      <c r="F457" s="38"/>
      <c r="G457" s="38"/>
    </row>
    <row r="458" ht="15.75" customHeight="1">
      <c r="A458" s="38"/>
      <c r="B458" s="38"/>
      <c r="C458" s="39"/>
      <c r="D458" s="38"/>
      <c r="E458" s="38"/>
      <c r="F458" s="38"/>
      <c r="G458" s="38"/>
    </row>
    <row r="459" ht="15.75" customHeight="1">
      <c r="A459" s="38"/>
      <c r="B459" s="38"/>
      <c r="C459" s="39"/>
      <c r="D459" s="38"/>
      <c r="E459" s="38"/>
      <c r="F459" s="38"/>
      <c r="G459" s="38"/>
    </row>
    <row r="460" ht="15.75" customHeight="1">
      <c r="A460" s="38"/>
      <c r="B460" s="38"/>
      <c r="C460" s="39"/>
      <c r="D460" s="38"/>
      <c r="E460" s="38"/>
      <c r="F460" s="38"/>
      <c r="G460" s="38"/>
    </row>
    <row r="461" ht="15.75" customHeight="1">
      <c r="A461" s="38"/>
      <c r="B461" s="38"/>
      <c r="C461" s="39"/>
      <c r="D461" s="38"/>
      <c r="E461" s="38"/>
      <c r="F461" s="38"/>
      <c r="G461" s="38"/>
    </row>
    <row r="462" ht="15.75" customHeight="1">
      <c r="A462" s="38"/>
      <c r="B462" s="38"/>
      <c r="C462" s="39"/>
      <c r="D462" s="38"/>
      <c r="E462" s="38"/>
      <c r="F462" s="38"/>
      <c r="G462" s="38"/>
    </row>
    <row r="463" ht="15.75" customHeight="1">
      <c r="A463" s="38"/>
      <c r="B463" s="38"/>
      <c r="C463" s="39"/>
      <c r="D463" s="38"/>
      <c r="E463" s="38"/>
      <c r="F463" s="38"/>
      <c r="G463" s="38"/>
    </row>
    <row r="464" ht="15.75" customHeight="1">
      <c r="A464" s="38"/>
      <c r="B464" s="38"/>
      <c r="C464" s="39"/>
      <c r="D464" s="38"/>
      <c r="E464" s="38"/>
      <c r="F464" s="38"/>
      <c r="G464" s="38"/>
    </row>
    <row r="465" ht="15.75" customHeight="1">
      <c r="A465" s="38"/>
      <c r="B465" s="38"/>
      <c r="C465" s="39"/>
      <c r="D465" s="38"/>
      <c r="E465" s="38"/>
      <c r="F465" s="38"/>
      <c r="G465" s="38"/>
    </row>
    <row r="466" ht="15.75" customHeight="1">
      <c r="A466" s="38"/>
      <c r="B466" s="38"/>
      <c r="C466" s="39"/>
      <c r="D466" s="38"/>
      <c r="E466" s="38"/>
      <c r="F466" s="38"/>
      <c r="G466" s="38"/>
    </row>
    <row r="467" ht="15.75" customHeight="1">
      <c r="A467" s="38"/>
      <c r="B467" s="38"/>
      <c r="C467" s="39"/>
      <c r="D467" s="38"/>
      <c r="E467" s="38"/>
      <c r="F467" s="38"/>
      <c r="G467" s="38"/>
    </row>
    <row r="468" ht="15.75" customHeight="1">
      <c r="A468" s="38"/>
      <c r="B468" s="38"/>
      <c r="C468" s="39"/>
      <c r="D468" s="38"/>
      <c r="E468" s="38"/>
      <c r="F468" s="38"/>
      <c r="G468" s="38"/>
    </row>
    <row r="469" ht="15.75" customHeight="1">
      <c r="A469" s="38"/>
      <c r="B469" s="38"/>
      <c r="C469" s="39"/>
      <c r="D469" s="38"/>
      <c r="E469" s="38"/>
      <c r="F469" s="38"/>
      <c r="G469" s="38"/>
    </row>
    <row r="470" ht="15.75" customHeight="1">
      <c r="A470" s="38"/>
      <c r="B470" s="38"/>
      <c r="C470" s="39"/>
      <c r="D470" s="38"/>
      <c r="E470" s="38"/>
      <c r="F470" s="38"/>
      <c r="G470" s="38"/>
    </row>
    <row r="471" ht="15.75" customHeight="1">
      <c r="A471" s="38"/>
      <c r="B471" s="38"/>
      <c r="C471" s="39"/>
      <c r="D471" s="38"/>
      <c r="E471" s="38"/>
      <c r="F471" s="38"/>
      <c r="G471" s="38"/>
    </row>
    <row r="472" ht="15.75" customHeight="1">
      <c r="A472" s="38"/>
      <c r="B472" s="38"/>
      <c r="C472" s="39"/>
      <c r="D472" s="38"/>
      <c r="E472" s="38"/>
      <c r="F472" s="38"/>
      <c r="G472" s="38"/>
    </row>
    <row r="473" ht="15.75" customHeight="1">
      <c r="A473" s="38"/>
      <c r="B473" s="38"/>
      <c r="C473" s="39"/>
      <c r="D473" s="38"/>
      <c r="E473" s="38"/>
      <c r="F473" s="38"/>
      <c r="G473" s="38"/>
    </row>
    <row r="474" ht="15.75" customHeight="1">
      <c r="A474" s="38"/>
      <c r="B474" s="38"/>
      <c r="C474" s="39"/>
      <c r="D474" s="38"/>
      <c r="E474" s="38"/>
      <c r="F474" s="38"/>
      <c r="G474" s="38"/>
    </row>
    <row r="475" ht="15.75" customHeight="1">
      <c r="A475" s="38"/>
      <c r="B475" s="38"/>
      <c r="C475" s="39"/>
      <c r="D475" s="38"/>
      <c r="E475" s="38"/>
      <c r="F475" s="38"/>
      <c r="G475" s="38"/>
    </row>
    <row r="476" ht="15.75" customHeight="1">
      <c r="A476" s="38"/>
      <c r="B476" s="38"/>
      <c r="C476" s="39"/>
      <c r="D476" s="38"/>
      <c r="E476" s="38"/>
      <c r="F476" s="38"/>
      <c r="G476" s="38"/>
    </row>
    <row r="477" ht="15.75" customHeight="1">
      <c r="A477" s="38"/>
      <c r="B477" s="38"/>
      <c r="C477" s="39"/>
      <c r="D477" s="38"/>
      <c r="E477" s="38"/>
      <c r="F477" s="38"/>
      <c r="G477" s="38"/>
    </row>
    <row r="478" ht="15.75" customHeight="1">
      <c r="A478" s="38"/>
      <c r="B478" s="38"/>
      <c r="C478" s="39"/>
      <c r="D478" s="38"/>
      <c r="E478" s="38"/>
      <c r="F478" s="38"/>
      <c r="G478" s="38"/>
    </row>
    <row r="479" ht="15.75" customHeight="1">
      <c r="A479" s="38"/>
      <c r="B479" s="38"/>
      <c r="C479" s="39"/>
      <c r="D479" s="38"/>
      <c r="E479" s="38"/>
      <c r="F479" s="38"/>
      <c r="G479" s="38"/>
    </row>
    <row r="480" ht="15.75" customHeight="1">
      <c r="A480" s="38"/>
      <c r="B480" s="38"/>
      <c r="C480" s="39"/>
      <c r="D480" s="38"/>
      <c r="E480" s="38"/>
      <c r="F480" s="38"/>
      <c r="G480" s="38"/>
    </row>
    <row r="481" ht="15.75" customHeight="1">
      <c r="A481" s="38"/>
      <c r="B481" s="38"/>
      <c r="C481" s="39"/>
      <c r="D481" s="38"/>
      <c r="E481" s="38"/>
      <c r="F481" s="38"/>
      <c r="G481" s="38"/>
    </row>
    <row r="482" ht="15.75" customHeight="1">
      <c r="A482" s="38"/>
      <c r="B482" s="38"/>
      <c r="C482" s="39"/>
      <c r="D482" s="38"/>
      <c r="E482" s="38"/>
      <c r="F482" s="38"/>
      <c r="G482" s="38"/>
    </row>
    <row r="483" ht="15.75" customHeight="1">
      <c r="A483" s="38"/>
      <c r="B483" s="38"/>
      <c r="C483" s="39"/>
      <c r="D483" s="38"/>
      <c r="E483" s="38"/>
      <c r="F483" s="38"/>
      <c r="G483" s="38"/>
    </row>
    <row r="484" ht="15.75" customHeight="1">
      <c r="A484" s="38"/>
      <c r="B484" s="38"/>
      <c r="C484" s="39"/>
      <c r="D484" s="38"/>
      <c r="E484" s="38"/>
      <c r="F484" s="38"/>
      <c r="G484" s="38"/>
    </row>
    <row r="485" ht="15.75" customHeight="1">
      <c r="A485" s="38"/>
      <c r="B485" s="38"/>
      <c r="C485" s="39"/>
      <c r="D485" s="38"/>
      <c r="E485" s="38"/>
      <c r="F485" s="38"/>
      <c r="G485" s="38"/>
    </row>
    <row r="486" ht="15.75" customHeight="1">
      <c r="A486" s="38"/>
      <c r="B486" s="38"/>
      <c r="C486" s="39"/>
      <c r="D486" s="38"/>
      <c r="E486" s="38"/>
      <c r="F486" s="38"/>
      <c r="G486" s="38"/>
    </row>
    <row r="487" ht="15.75" customHeight="1">
      <c r="A487" s="38"/>
      <c r="B487" s="38"/>
      <c r="C487" s="39"/>
      <c r="D487" s="38"/>
      <c r="E487" s="38"/>
      <c r="F487" s="38"/>
      <c r="G487" s="38"/>
    </row>
    <row r="488" ht="15.75" customHeight="1">
      <c r="A488" s="38"/>
      <c r="B488" s="38"/>
      <c r="C488" s="39"/>
      <c r="D488" s="38"/>
      <c r="E488" s="38"/>
      <c r="F488" s="38"/>
      <c r="G488" s="38"/>
    </row>
    <row r="489" ht="15.75" customHeight="1">
      <c r="A489" s="38"/>
      <c r="B489" s="38"/>
      <c r="C489" s="39"/>
      <c r="D489" s="38"/>
      <c r="E489" s="38"/>
      <c r="F489" s="38"/>
      <c r="G489" s="38"/>
    </row>
    <row r="490" ht="15.75" customHeight="1">
      <c r="A490" s="38"/>
      <c r="B490" s="38"/>
      <c r="C490" s="39"/>
      <c r="D490" s="38"/>
      <c r="E490" s="38"/>
      <c r="F490" s="38"/>
      <c r="G490" s="38"/>
    </row>
    <row r="491" ht="15.75" customHeight="1">
      <c r="A491" s="38"/>
      <c r="B491" s="38"/>
      <c r="C491" s="39"/>
      <c r="D491" s="38"/>
      <c r="E491" s="38"/>
      <c r="F491" s="38"/>
      <c r="G491" s="38"/>
    </row>
    <row r="492" ht="15.75" customHeight="1">
      <c r="A492" s="38"/>
      <c r="B492" s="38"/>
      <c r="C492" s="39"/>
      <c r="D492" s="38"/>
      <c r="E492" s="38"/>
      <c r="F492" s="38"/>
      <c r="G492" s="38"/>
    </row>
    <row r="493" ht="15.75" customHeight="1">
      <c r="A493" s="38"/>
      <c r="B493" s="38"/>
      <c r="C493" s="39"/>
      <c r="D493" s="38"/>
      <c r="E493" s="38"/>
      <c r="F493" s="38"/>
      <c r="G493" s="38"/>
    </row>
    <row r="494" ht="15.75" customHeight="1">
      <c r="A494" s="38"/>
      <c r="B494" s="38"/>
      <c r="C494" s="39"/>
      <c r="D494" s="38"/>
      <c r="E494" s="38"/>
      <c r="F494" s="38"/>
      <c r="G494" s="38"/>
    </row>
    <row r="495" ht="15.75" customHeight="1">
      <c r="A495" s="38"/>
      <c r="B495" s="38"/>
      <c r="C495" s="39"/>
      <c r="D495" s="38"/>
      <c r="E495" s="38"/>
      <c r="F495" s="38"/>
      <c r="G495" s="38"/>
    </row>
    <row r="496" ht="15.75" customHeight="1">
      <c r="A496" s="38"/>
      <c r="B496" s="38"/>
      <c r="C496" s="39"/>
      <c r="D496" s="38"/>
      <c r="E496" s="38"/>
      <c r="F496" s="38"/>
      <c r="G496" s="38"/>
    </row>
    <row r="497" ht="15.75" customHeight="1">
      <c r="A497" s="38"/>
      <c r="B497" s="38"/>
      <c r="C497" s="39"/>
      <c r="D497" s="38"/>
      <c r="E497" s="38"/>
      <c r="F497" s="38"/>
      <c r="G497" s="38"/>
    </row>
    <row r="498" ht="15.75" customHeight="1">
      <c r="A498" s="38"/>
      <c r="B498" s="38"/>
      <c r="C498" s="39"/>
      <c r="D498" s="38"/>
      <c r="E498" s="38"/>
      <c r="F498" s="38"/>
      <c r="G498" s="38"/>
    </row>
    <row r="499" ht="15.75" customHeight="1">
      <c r="A499" s="38"/>
      <c r="B499" s="38"/>
      <c r="C499" s="39"/>
      <c r="D499" s="38"/>
      <c r="E499" s="38"/>
      <c r="F499" s="38"/>
      <c r="G499" s="38"/>
    </row>
    <row r="500" ht="15.75" customHeight="1">
      <c r="A500" s="38"/>
      <c r="B500" s="38"/>
      <c r="C500" s="39"/>
      <c r="D500" s="38"/>
      <c r="E500" s="38"/>
      <c r="F500" s="38"/>
      <c r="G500" s="38"/>
    </row>
    <row r="501" ht="15.75" customHeight="1">
      <c r="A501" s="38"/>
      <c r="B501" s="38"/>
      <c r="C501" s="39"/>
      <c r="D501" s="38"/>
      <c r="E501" s="38"/>
      <c r="F501" s="38"/>
      <c r="G501" s="38"/>
    </row>
    <row r="502" ht="15.75" customHeight="1">
      <c r="A502" s="38"/>
      <c r="B502" s="38"/>
      <c r="C502" s="39"/>
      <c r="D502" s="38"/>
      <c r="E502" s="38"/>
      <c r="F502" s="38"/>
      <c r="G502" s="38"/>
    </row>
    <row r="503" ht="15.75" customHeight="1">
      <c r="A503" s="38"/>
      <c r="B503" s="38"/>
      <c r="C503" s="39"/>
      <c r="D503" s="38"/>
      <c r="E503" s="38"/>
      <c r="F503" s="38"/>
      <c r="G503" s="38"/>
    </row>
    <row r="504" ht="15.75" customHeight="1">
      <c r="A504" s="38"/>
      <c r="B504" s="38"/>
      <c r="C504" s="39"/>
      <c r="D504" s="38"/>
      <c r="E504" s="38"/>
      <c r="F504" s="38"/>
      <c r="G504" s="38"/>
    </row>
    <row r="505" ht="15.75" customHeight="1">
      <c r="A505" s="38"/>
      <c r="B505" s="38"/>
      <c r="C505" s="39"/>
      <c r="D505" s="38"/>
      <c r="E505" s="38"/>
      <c r="F505" s="38"/>
      <c r="G505" s="38"/>
    </row>
    <row r="506" ht="15.75" customHeight="1">
      <c r="A506" s="38"/>
      <c r="B506" s="38"/>
      <c r="C506" s="39"/>
      <c r="D506" s="38"/>
      <c r="E506" s="38"/>
      <c r="F506" s="38"/>
      <c r="G506" s="38"/>
    </row>
    <row r="507" ht="15.75" customHeight="1">
      <c r="A507" s="38"/>
      <c r="B507" s="38"/>
      <c r="C507" s="39"/>
      <c r="D507" s="38"/>
      <c r="E507" s="38"/>
      <c r="F507" s="38"/>
      <c r="G507" s="38"/>
    </row>
    <row r="508" ht="15.75" customHeight="1">
      <c r="A508" s="38"/>
      <c r="B508" s="38"/>
      <c r="C508" s="39"/>
      <c r="D508" s="38"/>
      <c r="E508" s="38"/>
      <c r="F508" s="38"/>
      <c r="G508" s="38"/>
    </row>
    <row r="509" ht="15.75" customHeight="1">
      <c r="A509" s="38"/>
      <c r="B509" s="38"/>
      <c r="C509" s="39"/>
      <c r="D509" s="38"/>
      <c r="E509" s="38"/>
      <c r="F509" s="38"/>
      <c r="G509" s="38"/>
    </row>
    <row r="510" ht="15.75" customHeight="1">
      <c r="A510" s="38"/>
      <c r="B510" s="38"/>
      <c r="C510" s="39"/>
      <c r="D510" s="38"/>
      <c r="E510" s="38"/>
      <c r="F510" s="38"/>
      <c r="G510" s="38"/>
    </row>
    <row r="511" ht="15.75" customHeight="1">
      <c r="A511" s="38"/>
      <c r="B511" s="38"/>
      <c r="C511" s="39"/>
      <c r="D511" s="38"/>
      <c r="E511" s="38"/>
      <c r="F511" s="38"/>
      <c r="G511" s="38"/>
    </row>
    <row r="512" ht="15.75" customHeight="1">
      <c r="A512" s="38"/>
      <c r="B512" s="38"/>
      <c r="C512" s="39"/>
      <c r="D512" s="38"/>
      <c r="E512" s="38"/>
      <c r="F512" s="38"/>
      <c r="G512" s="38"/>
    </row>
    <row r="513" ht="15.75" customHeight="1">
      <c r="A513" s="38"/>
      <c r="B513" s="38"/>
      <c r="C513" s="39"/>
      <c r="D513" s="38"/>
      <c r="E513" s="38"/>
      <c r="F513" s="38"/>
      <c r="G513" s="38"/>
    </row>
    <row r="514" ht="15.75" customHeight="1">
      <c r="A514" s="38"/>
      <c r="B514" s="38"/>
      <c r="C514" s="39"/>
      <c r="D514" s="38"/>
      <c r="E514" s="38"/>
      <c r="F514" s="38"/>
      <c r="G514" s="38"/>
    </row>
    <row r="515" ht="15.75" customHeight="1">
      <c r="A515" s="38"/>
      <c r="B515" s="38"/>
      <c r="C515" s="39"/>
      <c r="D515" s="38"/>
      <c r="E515" s="38"/>
      <c r="F515" s="38"/>
      <c r="G515" s="38"/>
    </row>
    <row r="516" ht="15.75" customHeight="1">
      <c r="A516" s="38"/>
      <c r="B516" s="38"/>
      <c r="C516" s="39"/>
      <c r="D516" s="38"/>
      <c r="E516" s="38"/>
      <c r="F516" s="38"/>
      <c r="G516" s="38"/>
    </row>
    <row r="517" ht="15.75" customHeight="1">
      <c r="A517" s="38"/>
      <c r="B517" s="38"/>
      <c r="C517" s="39"/>
      <c r="D517" s="38"/>
      <c r="E517" s="38"/>
      <c r="F517" s="38"/>
      <c r="G517" s="38"/>
    </row>
    <row r="518" ht="15.75" customHeight="1">
      <c r="A518" s="38"/>
      <c r="B518" s="38"/>
      <c r="C518" s="39"/>
      <c r="D518" s="38"/>
      <c r="E518" s="38"/>
      <c r="F518" s="38"/>
      <c r="G518" s="38"/>
    </row>
    <row r="519" ht="15.75" customHeight="1">
      <c r="A519" s="38"/>
      <c r="B519" s="38"/>
      <c r="C519" s="39"/>
      <c r="D519" s="38"/>
      <c r="E519" s="38"/>
      <c r="F519" s="38"/>
      <c r="G519" s="38"/>
    </row>
    <row r="520" ht="15.75" customHeight="1">
      <c r="A520" s="38"/>
      <c r="B520" s="38"/>
      <c r="C520" s="39"/>
      <c r="D520" s="38"/>
      <c r="E520" s="38"/>
      <c r="F520" s="38"/>
      <c r="G520" s="38"/>
    </row>
    <row r="521" ht="15.75" customHeight="1">
      <c r="A521" s="38"/>
      <c r="B521" s="38"/>
      <c r="C521" s="39"/>
      <c r="D521" s="38"/>
      <c r="E521" s="38"/>
      <c r="F521" s="38"/>
      <c r="G521" s="38"/>
    </row>
    <row r="522" ht="15.75" customHeight="1">
      <c r="A522" s="38"/>
      <c r="B522" s="38"/>
      <c r="C522" s="39"/>
      <c r="D522" s="38"/>
      <c r="E522" s="38"/>
      <c r="F522" s="38"/>
      <c r="G522" s="38"/>
    </row>
    <row r="523" ht="15.75" customHeight="1">
      <c r="A523" s="38"/>
      <c r="B523" s="38"/>
      <c r="C523" s="39"/>
      <c r="D523" s="38"/>
      <c r="E523" s="38"/>
      <c r="F523" s="38"/>
      <c r="G523" s="38"/>
    </row>
    <row r="524" ht="15.75" customHeight="1">
      <c r="A524" s="38"/>
      <c r="B524" s="38"/>
      <c r="C524" s="39"/>
      <c r="D524" s="38"/>
      <c r="E524" s="38"/>
      <c r="F524" s="38"/>
      <c r="G524" s="38"/>
    </row>
    <row r="525" ht="15.75" customHeight="1">
      <c r="A525" s="38"/>
      <c r="B525" s="38"/>
      <c r="C525" s="39"/>
      <c r="D525" s="38"/>
      <c r="E525" s="38"/>
      <c r="F525" s="38"/>
      <c r="G525" s="38"/>
    </row>
    <row r="526" ht="15.75" customHeight="1">
      <c r="A526" s="38"/>
      <c r="B526" s="38"/>
      <c r="C526" s="39"/>
      <c r="D526" s="38"/>
      <c r="E526" s="38"/>
      <c r="F526" s="38"/>
      <c r="G526" s="38"/>
    </row>
    <row r="527" ht="15.75" customHeight="1">
      <c r="A527" s="38"/>
      <c r="B527" s="38"/>
      <c r="C527" s="39"/>
      <c r="D527" s="38"/>
      <c r="E527" s="38"/>
      <c r="F527" s="38"/>
      <c r="G527" s="38"/>
    </row>
    <row r="528" ht="15.75" customHeight="1">
      <c r="A528" s="38"/>
      <c r="B528" s="38"/>
      <c r="C528" s="39"/>
      <c r="D528" s="38"/>
      <c r="E528" s="38"/>
      <c r="F528" s="38"/>
      <c r="G528" s="38"/>
    </row>
    <row r="529" ht="15.75" customHeight="1">
      <c r="A529" s="38"/>
      <c r="B529" s="38"/>
      <c r="C529" s="39"/>
      <c r="D529" s="38"/>
      <c r="E529" s="38"/>
      <c r="F529" s="38"/>
      <c r="G529" s="38"/>
    </row>
    <row r="530" ht="15.75" customHeight="1">
      <c r="A530" s="38"/>
      <c r="B530" s="38"/>
      <c r="C530" s="39"/>
      <c r="D530" s="38"/>
      <c r="E530" s="38"/>
      <c r="F530" s="38"/>
      <c r="G530" s="38"/>
    </row>
    <row r="531" ht="15.75" customHeight="1">
      <c r="A531" s="38"/>
      <c r="B531" s="38"/>
      <c r="C531" s="39"/>
      <c r="D531" s="38"/>
      <c r="E531" s="38"/>
      <c r="F531" s="38"/>
      <c r="G531" s="38"/>
    </row>
    <row r="532" ht="15.75" customHeight="1">
      <c r="A532" s="38"/>
      <c r="B532" s="38"/>
      <c r="C532" s="39"/>
      <c r="D532" s="38"/>
      <c r="E532" s="38"/>
      <c r="F532" s="38"/>
      <c r="G532" s="38"/>
    </row>
    <row r="533" ht="15.75" customHeight="1">
      <c r="A533" s="38"/>
      <c r="B533" s="38"/>
      <c r="C533" s="39"/>
      <c r="D533" s="38"/>
      <c r="E533" s="38"/>
      <c r="F533" s="38"/>
      <c r="G533" s="38"/>
    </row>
    <row r="534" ht="15.75" customHeight="1">
      <c r="A534" s="38"/>
      <c r="B534" s="38"/>
      <c r="C534" s="39"/>
      <c r="D534" s="38"/>
      <c r="E534" s="38"/>
      <c r="F534" s="38"/>
      <c r="G534" s="38"/>
    </row>
    <row r="535" ht="15.75" customHeight="1">
      <c r="A535" s="38"/>
      <c r="B535" s="38"/>
      <c r="C535" s="39"/>
      <c r="D535" s="38"/>
      <c r="E535" s="38"/>
      <c r="F535" s="38"/>
      <c r="G535" s="38"/>
    </row>
    <row r="536" ht="15.75" customHeight="1">
      <c r="A536" s="38"/>
      <c r="B536" s="38"/>
      <c r="C536" s="39"/>
      <c r="D536" s="38"/>
      <c r="E536" s="38"/>
      <c r="F536" s="38"/>
      <c r="G536" s="38"/>
    </row>
    <row r="537" ht="15.75" customHeight="1">
      <c r="A537" s="38"/>
      <c r="B537" s="38"/>
      <c r="C537" s="39"/>
      <c r="D537" s="38"/>
      <c r="E537" s="38"/>
      <c r="F537" s="38"/>
      <c r="G537" s="38"/>
    </row>
    <row r="538" ht="15.75" customHeight="1">
      <c r="A538" s="38"/>
      <c r="B538" s="38"/>
      <c r="C538" s="39"/>
      <c r="D538" s="38"/>
      <c r="E538" s="38"/>
      <c r="F538" s="38"/>
      <c r="G538" s="38"/>
    </row>
    <row r="539" ht="15.75" customHeight="1">
      <c r="A539" s="38"/>
      <c r="B539" s="38"/>
      <c r="C539" s="39"/>
      <c r="D539" s="38"/>
      <c r="E539" s="38"/>
      <c r="F539" s="38"/>
      <c r="G539" s="38"/>
    </row>
    <row r="540" ht="15.75" customHeight="1">
      <c r="A540" s="38"/>
      <c r="B540" s="38"/>
      <c r="C540" s="39"/>
      <c r="D540" s="38"/>
      <c r="E540" s="38"/>
      <c r="F540" s="38"/>
      <c r="G540" s="38"/>
    </row>
    <row r="541" ht="15.75" customHeight="1">
      <c r="A541" s="38"/>
      <c r="B541" s="38"/>
      <c r="C541" s="39"/>
      <c r="D541" s="38"/>
      <c r="E541" s="38"/>
      <c r="F541" s="38"/>
      <c r="G541" s="38"/>
    </row>
    <row r="542" ht="15.75" customHeight="1">
      <c r="A542" s="38"/>
      <c r="B542" s="38"/>
      <c r="C542" s="39"/>
      <c r="D542" s="38"/>
      <c r="E542" s="38"/>
      <c r="F542" s="38"/>
      <c r="G542" s="38"/>
    </row>
    <row r="543" ht="15.75" customHeight="1">
      <c r="A543" s="38"/>
      <c r="B543" s="38"/>
      <c r="C543" s="39"/>
      <c r="D543" s="38"/>
      <c r="E543" s="38"/>
      <c r="F543" s="38"/>
      <c r="G543" s="38"/>
    </row>
    <row r="544" ht="15.75" customHeight="1">
      <c r="A544" s="38"/>
      <c r="B544" s="38"/>
      <c r="C544" s="39"/>
      <c r="D544" s="38"/>
      <c r="E544" s="38"/>
      <c r="F544" s="38"/>
      <c r="G544" s="38"/>
    </row>
    <row r="545" ht="15.75" customHeight="1">
      <c r="A545" s="38"/>
      <c r="B545" s="38"/>
      <c r="C545" s="39"/>
      <c r="D545" s="38"/>
      <c r="E545" s="38"/>
      <c r="F545" s="38"/>
      <c r="G545" s="38"/>
    </row>
    <row r="546" ht="15.75" customHeight="1">
      <c r="A546" s="38"/>
      <c r="B546" s="38"/>
      <c r="C546" s="39"/>
      <c r="D546" s="38"/>
      <c r="E546" s="38"/>
      <c r="F546" s="38"/>
      <c r="G546" s="38"/>
    </row>
    <row r="547" ht="15.75" customHeight="1">
      <c r="A547" s="38"/>
      <c r="B547" s="38"/>
      <c r="C547" s="39"/>
      <c r="D547" s="38"/>
      <c r="E547" s="38"/>
      <c r="F547" s="38"/>
      <c r="G547" s="38"/>
    </row>
    <row r="548" ht="15.75" customHeight="1">
      <c r="A548" s="38"/>
      <c r="B548" s="38"/>
      <c r="C548" s="39"/>
      <c r="D548" s="38"/>
      <c r="E548" s="38"/>
      <c r="F548" s="38"/>
      <c r="G548" s="38"/>
    </row>
    <row r="549" ht="15.75" customHeight="1">
      <c r="A549" s="38"/>
      <c r="B549" s="38"/>
      <c r="C549" s="39"/>
      <c r="D549" s="38"/>
      <c r="E549" s="38"/>
      <c r="F549" s="38"/>
      <c r="G549" s="38"/>
    </row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1:A3"/>
    <mergeCell ref="B1:G1"/>
    <mergeCell ref="B2:G2"/>
    <mergeCell ref="B3:G3"/>
    <mergeCell ref="A5:G5"/>
    <mergeCell ref="A6:G6"/>
  </mergeCells>
  <hyperlinks>
    <hyperlink r:id="rId1" ref="C39"/>
    <hyperlink r:id="rId2" ref="C40"/>
    <hyperlink r:id="rId3" ref="C43"/>
    <hyperlink r:id="rId4" ref="C53"/>
    <hyperlink r:id="rId5" ref="C68"/>
    <hyperlink r:id="rId6" ref="C91"/>
    <hyperlink r:id="rId7" ref="C119"/>
    <hyperlink r:id="rId8" ref="C125"/>
    <hyperlink r:id="rId9" ref="C171"/>
    <hyperlink r:id="rId10" ref="C192"/>
    <hyperlink r:id="rId11" ref="C195"/>
    <hyperlink r:id="rId12" ref="C197"/>
    <hyperlink r:id="rId13" ref="C215"/>
    <hyperlink r:id="rId14" ref="C269"/>
    <hyperlink r:id="rId15" ref="C270"/>
    <hyperlink r:id="rId16" ref="C306"/>
  </hyperlinks>
  <printOptions/>
  <pageMargins bottom="0.747916666666667" footer="0.0" header="0.0" left="0.708333333333333" right="0.708333333333333" top="0.747916666666667"/>
  <pageSetup paperSize="9" orientation="landscape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99"/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69.29"/>
    <col customWidth="1" min="3" max="3" width="45.29"/>
    <col customWidth="1" min="4" max="4" width="9.0"/>
    <col customWidth="1" min="5" max="5" width="26.14"/>
    <col customWidth="1" min="6" max="6" width="11.14"/>
    <col customWidth="1" min="7" max="7" width="12.29"/>
  </cols>
  <sheetData>
    <row r="1" ht="12.75" customHeight="1">
      <c r="A1" s="40"/>
      <c r="B1" s="41" t="s">
        <v>0</v>
      </c>
      <c r="C1" s="7"/>
      <c r="D1" s="7"/>
      <c r="E1" s="7"/>
      <c r="F1" s="7"/>
      <c r="G1" s="7"/>
    </row>
    <row r="2" ht="14.25" customHeight="1">
      <c r="A2" s="42"/>
      <c r="B2" s="6" t="s">
        <v>746</v>
      </c>
      <c r="C2" s="7"/>
      <c r="D2" s="7"/>
      <c r="E2" s="7"/>
      <c r="F2" s="7"/>
      <c r="G2" s="7"/>
    </row>
    <row r="3" ht="14.25" customHeight="1">
      <c r="A3" s="42"/>
      <c r="B3" s="43"/>
      <c r="C3" s="44"/>
      <c r="D3" s="45"/>
      <c r="E3" s="45"/>
      <c r="F3" s="43"/>
      <c r="G3" s="43"/>
    </row>
    <row r="4" ht="69.75" customHeight="1">
      <c r="A4" s="42"/>
      <c r="B4" s="6" t="s">
        <v>747</v>
      </c>
      <c r="C4" s="7"/>
      <c r="D4" s="7"/>
      <c r="E4" s="7"/>
      <c r="F4" s="7"/>
      <c r="G4" s="7"/>
    </row>
    <row r="5" ht="12.75" customHeight="1">
      <c r="A5" s="9" t="s">
        <v>2</v>
      </c>
      <c r="B5" s="9" t="s">
        <v>3</v>
      </c>
      <c r="C5" s="9" t="s">
        <v>4</v>
      </c>
      <c r="D5" s="9" t="s">
        <v>5</v>
      </c>
      <c r="E5" s="46" t="s">
        <v>6</v>
      </c>
      <c r="F5" s="46" t="s">
        <v>7</v>
      </c>
      <c r="G5" s="47" t="s">
        <v>8</v>
      </c>
    </row>
    <row r="6" ht="21.0" customHeight="1">
      <c r="A6" s="48" t="s">
        <v>748</v>
      </c>
      <c r="B6" s="49"/>
      <c r="C6" s="49"/>
      <c r="D6" s="49"/>
      <c r="E6" s="49"/>
      <c r="F6" s="49"/>
      <c r="G6" s="50"/>
    </row>
    <row r="7" ht="14.25" customHeight="1">
      <c r="A7" s="14" t="s">
        <v>749</v>
      </c>
    </row>
    <row r="8" ht="13.5" customHeight="1">
      <c r="A8" s="51" t="s">
        <v>750</v>
      </c>
      <c r="B8" s="52" t="s">
        <v>751</v>
      </c>
      <c r="C8" s="17" t="str">
        <f>HYPERLINK("https://ra-matina.ru/?vendor_code=UM_055")</f>
        <v>https://ra-matina.ru/?vendor_code=UM_055</v>
      </c>
      <c r="D8" s="53" t="s">
        <v>13</v>
      </c>
      <c r="E8" s="19" t="s">
        <v>752</v>
      </c>
      <c r="F8" s="15" t="s">
        <v>15</v>
      </c>
      <c r="G8" s="54" t="s">
        <v>753</v>
      </c>
    </row>
    <row r="9" ht="13.5" customHeight="1">
      <c r="A9" s="55" t="s">
        <v>754</v>
      </c>
      <c r="B9" s="52" t="s">
        <v>755</v>
      </c>
      <c r="C9" s="17" t="str">
        <f>HYPERLINK("https://ra-matina.ru/?vendor_code=KRD008B4GGSC")</f>
        <v>https://ra-matina.ru/?vendor_code=KRD008B4GGSC</v>
      </c>
      <c r="D9" s="53" t="s">
        <v>756</v>
      </c>
      <c r="E9" s="19" t="s">
        <v>752</v>
      </c>
      <c r="F9" s="15" t="s">
        <v>15</v>
      </c>
      <c r="G9" s="54" t="s">
        <v>757</v>
      </c>
    </row>
    <row r="10" ht="13.5" customHeight="1">
      <c r="A10" s="53" t="s">
        <v>758</v>
      </c>
      <c r="B10" s="52" t="s">
        <v>759</v>
      </c>
      <c r="C10" s="17" t="str">
        <f>HYPERLINK("https://ra-matina.ru/?vendor_code=art_642")</f>
        <v>https://ra-matina.ru/?vendor_code=art_642</v>
      </c>
      <c r="D10" s="53" t="s">
        <v>760</v>
      </c>
      <c r="E10" s="19" t="s">
        <v>752</v>
      </c>
      <c r="F10" s="15" t="s">
        <v>15</v>
      </c>
      <c r="G10" s="54" t="s">
        <v>23</v>
      </c>
    </row>
    <row r="11" ht="13.5" customHeight="1">
      <c r="A11" s="15" t="s">
        <v>761</v>
      </c>
      <c r="B11" s="52" t="s">
        <v>762</v>
      </c>
      <c r="C11" s="17" t="str">
        <f>HYPERLINK("https://ra-matina.ru/?vendor_code=KrscroN002Б")</f>
        <v>https://ra-matina.ru/?vendor_code=KrscroN002Б</v>
      </c>
      <c r="D11" s="15" t="s">
        <v>21</v>
      </c>
      <c r="E11" s="19" t="s">
        <v>763</v>
      </c>
      <c r="F11" s="15" t="s">
        <v>15</v>
      </c>
      <c r="G11" s="21">
        <v>27000.0</v>
      </c>
    </row>
    <row r="12" ht="13.5" customHeight="1">
      <c r="A12" s="15" t="s">
        <v>764</v>
      </c>
      <c r="B12" s="52" t="s">
        <v>765</v>
      </c>
      <c r="C12" s="17" t="str">
        <f>HYPERLINK("https://ra-matina.ru/?vendor_code=KrscroN002А")</f>
        <v>https://ra-matina.ru/?vendor_code=KrscroN002А</v>
      </c>
      <c r="D12" s="15" t="s">
        <v>28</v>
      </c>
      <c r="E12" s="19" t="s">
        <v>763</v>
      </c>
      <c r="F12" s="15" t="s">
        <v>15</v>
      </c>
      <c r="G12" s="21">
        <v>27500.0</v>
      </c>
    </row>
    <row r="13" ht="13.5" customHeight="1">
      <c r="A13" s="15" t="s">
        <v>766</v>
      </c>
      <c r="B13" s="52" t="s">
        <v>767</v>
      </c>
      <c r="C13" s="17" t="str">
        <f>HYPERLINK("https://ra-matina.ru/?vendor_code=KrscroN001Б")</f>
        <v>https://ra-matina.ru/?vendor_code=KrscroN001Б</v>
      </c>
      <c r="D13" s="15" t="s">
        <v>21</v>
      </c>
      <c r="E13" s="19" t="s">
        <v>763</v>
      </c>
      <c r="F13" s="15" t="s">
        <v>15</v>
      </c>
      <c r="G13" s="21">
        <v>25000.0</v>
      </c>
    </row>
    <row r="14" ht="13.5" customHeight="1">
      <c r="A14" s="53" t="s">
        <v>768</v>
      </c>
      <c r="B14" s="52" t="s">
        <v>769</v>
      </c>
      <c r="C14" s="17" t="str">
        <f>HYPERLINK("https://ra-matina.ru/?vendor_code=UM_025")</f>
        <v>https://ra-matina.ru/?vendor_code=UM_025</v>
      </c>
      <c r="D14" s="53" t="s">
        <v>770</v>
      </c>
      <c r="E14" s="19" t="s">
        <v>752</v>
      </c>
      <c r="F14" s="15" t="s">
        <v>15</v>
      </c>
      <c r="G14" s="54" t="s">
        <v>771</v>
      </c>
    </row>
    <row r="15" ht="13.5" customHeight="1">
      <c r="A15" s="51" t="s">
        <v>772</v>
      </c>
      <c r="B15" s="52" t="s">
        <v>773</v>
      </c>
      <c r="C15" s="17" t="str">
        <f>HYPERLINK("https://ra-matina.ru/?vendor_code=UM_374")</f>
        <v>https://ra-matina.ru/?vendor_code=UM_374</v>
      </c>
      <c r="D15" s="53" t="s">
        <v>21</v>
      </c>
      <c r="E15" s="19" t="s">
        <v>763</v>
      </c>
      <c r="F15" s="15" t="s">
        <v>15</v>
      </c>
      <c r="G15" s="54" t="s">
        <v>393</v>
      </c>
    </row>
    <row r="16" ht="13.5" customHeight="1">
      <c r="A16" s="51" t="s">
        <v>774</v>
      </c>
      <c r="B16" s="52" t="s">
        <v>775</v>
      </c>
      <c r="C16" s="17" t="str">
        <f>HYPERLINK("https://ra-matina.ru/?vendor_code=UM_023")</f>
        <v>https://ra-matina.ru/?vendor_code=UM_023</v>
      </c>
      <c r="D16" s="53" t="s">
        <v>28</v>
      </c>
      <c r="E16" s="19" t="s">
        <v>763</v>
      </c>
      <c r="F16" s="15" t="s">
        <v>15</v>
      </c>
      <c r="G16" s="54" t="s">
        <v>776</v>
      </c>
    </row>
    <row r="17" ht="13.5" customHeight="1">
      <c r="A17" s="53" t="s">
        <v>777</v>
      </c>
      <c r="B17" s="52" t="s">
        <v>778</v>
      </c>
      <c r="C17" s="17" t="str">
        <f>HYPERLINK("https://ra-matina.ru/?vendor_code=art_090")</f>
        <v>https://ra-matina.ru/?vendor_code=art_090</v>
      </c>
      <c r="D17" s="53" t="s">
        <v>760</v>
      </c>
      <c r="E17" s="19" t="s">
        <v>752</v>
      </c>
      <c r="F17" s="15" t="s">
        <v>15</v>
      </c>
      <c r="G17" s="54" t="s">
        <v>110</v>
      </c>
    </row>
    <row r="18" ht="13.5" customHeight="1">
      <c r="A18" s="53" t="s">
        <v>779</v>
      </c>
      <c r="B18" s="52" t="s">
        <v>780</v>
      </c>
      <c r="C18" s="17" t="str">
        <f>HYPERLINK("https://ra-matina.ru/?vendor_code=pa_413")</f>
        <v>https://ra-matina.ru/?vendor_code=pa_413</v>
      </c>
      <c r="D18" s="53" t="s">
        <v>31</v>
      </c>
      <c r="E18" s="19" t="s">
        <v>752</v>
      </c>
      <c r="F18" s="15" t="s">
        <v>15</v>
      </c>
      <c r="G18" s="54" t="s">
        <v>771</v>
      </c>
    </row>
    <row r="19" ht="13.5" customHeight="1">
      <c r="A19" s="53" t="s">
        <v>781</v>
      </c>
      <c r="B19" s="52" t="s">
        <v>782</v>
      </c>
      <c r="C19" s="17" t="str">
        <f>HYPERLINK("https://ra-matina.ru/?vendor_code=art_519")</f>
        <v>https://ra-matina.ru/?vendor_code=art_519</v>
      </c>
      <c r="D19" s="53" t="s">
        <v>18</v>
      </c>
      <c r="E19" s="19" t="s">
        <v>752</v>
      </c>
      <c r="F19" s="15" t="s">
        <v>15</v>
      </c>
      <c r="G19" s="54" t="s">
        <v>141</v>
      </c>
    </row>
    <row r="20" ht="13.5" customHeight="1">
      <c r="A20" s="53" t="s">
        <v>783</v>
      </c>
      <c r="B20" s="52" t="s">
        <v>784</v>
      </c>
      <c r="C20" s="17" t="str">
        <f>HYPERLINK("https://ra-matina.ru/?vendor_code=art_503")</f>
        <v>https://ra-matina.ru/?vendor_code=art_503</v>
      </c>
      <c r="D20" s="53" t="s">
        <v>43</v>
      </c>
      <c r="E20" s="19" t="s">
        <v>752</v>
      </c>
      <c r="F20" s="15" t="s">
        <v>15</v>
      </c>
      <c r="G20" s="54" t="s">
        <v>583</v>
      </c>
    </row>
    <row r="21" ht="13.5" customHeight="1">
      <c r="A21" s="51" t="s">
        <v>785</v>
      </c>
      <c r="B21" s="52" t="s">
        <v>786</v>
      </c>
      <c r="C21" s="17" t="str">
        <f>HYPERLINK("https://ra-matina.ru/?vendor_code=UM_077")</f>
        <v>https://ra-matina.ru/?vendor_code=UM_077</v>
      </c>
      <c r="D21" s="53" t="s">
        <v>770</v>
      </c>
      <c r="E21" s="19" t="s">
        <v>752</v>
      </c>
      <c r="F21" s="15" t="s">
        <v>15</v>
      </c>
      <c r="G21" s="54" t="s">
        <v>280</v>
      </c>
    </row>
    <row r="22" ht="13.5" customHeight="1">
      <c r="A22" s="15" t="s">
        <v>787</v>
      </c>
      <c r="B22" s="52" t="s">
        <v>788</v>
      </c>
      <c r="C22" s="17" t="str">
        <f>HYPERLINK("https://ra-matina.ru/?vendor_code=KrscroN003А")</f>
        <v>https://ra-matina.ru/?vendor_code=KrscroN003А</v>
      </c>
      <c r="D22" s="15" t="s">
        <v>28</v>
      </c>
      <c r="E22" s="19" t="s">
        <v>763</v>
      </c>
      <c r="F22" s="15" t="s">
        <v>40</v>
      </c>
      <c r="G22" s="21">
        <v>26500.0</v>
      </c>
    </row>
    <row r="23" ht="13.5" customHeight="1">
      <c r="A23" s="51" t="s">
        <v>789</v>
      </c>
      <c r="B23" s="52" t="s">
        <v>790</v>
      </c>
      <c r="C23" s="17" t="str">
        <f>HYPERLINK("https://ra-matina.ru/?vendor_code=UM_125")</f>
        <v>https://ra-matina.ru/?vendor_code=UM_125</v>
      </c>
      <c r="D23" s="53" t="s">
        <v>28</v>
      </c>
      <c r="E23" s="19" t="s">
        <v>763</v>
      </c>
      <c r="F23" s="15" t="s">
        <v>40</v>
      </c>
      <c r="G23" s="54" t="s">
        <v>280</v>
      </c>
    </row>
    <row r="24" ht="13.5" customHeight="1">
      <c r="A24" s="51" t="s">
        <v>791</v>
      </c>
      <c r="B24" s="52" t="s">
        <v>792</v>
      </c>
      <c r="C24" s="17" t="str">
        <f>HYPERLINK("https://ra-matina.ru/?vendor_code=UM_126")</f>
        <v>https://ra-matina.ru/?vendor_code=UM_126</v>
      </c>
      <c r="D24" s="53" t="s">
        <v>28</v>
      </c>
      <c r="E24" s="19" t="s">
        <v>763</v>
      </c>
      <c r="F24" s="15" t="s">
        <v>40</v>
      </c>
      <c r="G24" s="54" t="s">
        <v>793</v>
      </c>
    </row>
    <row r="25" ht="13.5" customHeight="1">
      <c r="A25" s="51" t="s">
        <v>794</v>
      </c>
      <c r="B25" s="52" t="s">
        <v>795</v>
      </c>
      <c r="C25" s="17" t="str">
        <f>HYPERLINK("https://ra-matina.ru/?vendor_code=art_623")</f>
        <v>https://ra-matina.ru/?vendor_code=art_623</v>
      </c>
      <c r="D25" s="53" t="s">
        <v>35</v>
      </c>
      <c r="E25" s="19" t="s">
        <v>752</v>
      </c>
      <c r="F25" s="15" t="s">
        <v>15</v>
      </c>
      <c r="G25" s="54" t="s">
        <v>220</v>
      </c>
    </row>
    <row r="26" ht="13.5" customHeight="1">
      <c r="A26" s="51" t="s">
        <v>796</v>
      </c>
      <c r="B26" s="52" t="s">
        <v>797</v>
      </c>
      <c r="C26" s="17" t="str">
        <f>HYPERLINK("https://ra-matina.ru/?vendor_code=art_438")</f>
        <v>https://ra-matina.ru/?vendor_code=art_438</v>
      </c>
      <c r="D26" s="53" t="s">
        <v>760</v>
      </c>
      <c r="E26" s="19" t="s">
        <v>752</v>
      </c>
      <c r="F26" s="15" t="s">
        <v>15</v>
      </c>
      <c r="G26" s="54" t="s">
        <v>347</v>
      </c>
    </row>
    <row r="27" ht="13.5" customHeight="1">
      <c r="A27" s="51" t="s">
        <v>798</v>
      </c>
      <c r="B27" s="52" t="s">
        <v>799</v>
      </c>
      <c r="C27" s="17" t="str">
        <f>HYPERLINK("https://ra-matina.ru/?vendor_code=art_439")</f>
        <v>https://ra-matina.ru/?vendor_code=art_439</v>
      </c>
      <c r="D27" s="53" t="s">
        <v>43</v>
      </c>
      <c r="E27" s="19" t="s">
        <v>752</v>
      </c>
      <c r="F27" s="15" t="s">
        <v>15</v>
      </c>
      <c r="G27" s="54" t="s">
        <v>176</v>
      </c>
    </row>
    <row r="28" ht="13.5" customHeight="1">
      <c r="A28" s="15" t="s">
        <v>800</v>
      </c>
      <c r="B28" s="52" t="s">
        <v>801</v>
      </c>
      <c r="C28" s="17" t="str">
        <f>HYPERLINK("https://ra-matina.ru/?vendor_code=KrscroN005А3")</f>
        <v>https://ra-matina.ru/?vendor_code=KrscroN005А3</v>
      </c>
      <c r="D28" s="15" t="s">
        <v>18</v>
      </c>
      <c r="E28" s="19" t="s">
        <v>752</v>
      </c>
      <c r="F28" s="15" t="s">
        <v>15</v>
      </c>
      <c r="G28" s="21">
        <v>30000.0</v>
      </c>
    </row>
    <row r="29" ht="13.5" customHeight="1">
      <c r="A29" s="53" t="s">
        <v>802</v>
      </c>
      <c r="B29" s="52" t="s">
        <v>803</v>
      </c>
      <c r="C29" s="17" t="str">
        <f>HYPERLINK("https://ra-matina.ru/?vendor_code=UM_045")</f>
        <v>https://ra-matina.ru/?vendor_code=UM_045</v>
      </c>
      <c r="D29" s="53" t="s">
        <v>756</v>
      </c>
      <c r="E29" s="19" t="s">
        <v>752</v>
      </c>
      <c r="F29" s="15" t="s">
        <v>15</v>
      </c>
      <c r="G29" s="54" t="s">
        <v>220</v>
      </c>
    </row>
    <row r="30" ht="13.5" customHeight="1">
      <c r="A30" s="51" t="s">
        <v>804</v>
      </c>
      <c r="B30" s="52" t="s">
        <v>805</v>
      </c>
      <c r="C30" s="17" t="str">
        <f>HYPERLINK("https://ra-matina.ru/?vendor_code=UM_047")</f>
        <v>https://ra-matina.ru/?vendor_code=UM_047</v>
      </c>
      <c r="D30" s="53" t="s">
        <v>43</v>
      </c>
      <c r="E30" s="19" t="s">
        <v>752</v>
      </c>
      <c r="F30" s="15" t="s">
        <v>15</v>
      </c>
      <c r="G30" s="54" t="s">
        <v>23</v>
      </c>
    </row>
    <row r="31" ht="13.5" customHeight="1">
      <c r="A31" s="53" t="s">
        <v>806</v>
      </c>
      <c r="B31" s="52" t="s">
        <v>807</v>
      </c>
      <c r="C31" s="17" t="str">
        <f>HYPERLINK("https://ra-matina.ru/?vendor_code=UM_046")</f>
        <v>https://ra-matina.ru/?vendor_code=UM_046</v>
      </c>
      <c r="D31" s="53" t="s">
        <v>31</v>
      </c>
      <c r="E31" s="19" t="s">
        <v>752</v>
      </c>
      <c r="F31" s="15" t="s">
        <v>15</v>
      </c>
      <c r="G31" s="54" t="s">
        <v>771</v>
      </c>
    </row>
    <row r="32" ht="13.5" customHeight="1">
      <c r="A32" s="51" t="s">
        <v>808</v>
      </c>
      <c r="B32" s="52" t="s">
        <v>809</v>
      </c>
      <c r="C32" s="17" t="str">
        <f>HYPERLINK("https://ra-matina.ru/?vendor_code=art_045")</f>
        <v>https://ra-matina.ru/?vendor_code=art_045</v>
      </c>
      <c r="D32" s="53" t="s">
        <v>760</v>
      </c>
      <c r="E32" s="19" t="s">
        <v>752</v>
      </c>
      <c r="F32" s="15" t="s">
        <v>15</v>
      </c>
      <c r="G32" s="54" t="s">
        <v>753</v>
      </c>
    </row>
    <row r="33" ht="13.5" customHeight="1">
      <c r="A33" s="51" t="s">
        <v>810</v>
      </c>
      <c r="B33" s="52" t="s">
        <v>811</v>
      </c>
      <c r="C33" s="17" t="str">
        <f>HYPERLINK("https://ra-matina.ru/?vendor_code=art_046")</f>
        <v>https://ra-matina.ru/?vendor_code=art_046</v>
      </c>
      <c r="D33" s="53" t="s">
        <v>18</v>
      </c>
      <c r="E33" s="19" t="s">
        <v>752</v>
      </c>
      <c r="F33" s="15" t="s">
        <v>15</v>
      </c>
      <c r="G33" s="54" t="s">
        <v>812</v>
      </c>
    </row>
    <row r="34" ht="13.5" customHeight="1">
      <c r="A34" s="15" t="s">
        <v>813</v>
      </c>
      <c r="B34" s="52" t="s">
        <v>814</v>
      </c>
      <c r="C34" s="17" t="str">
        <f>HYPERLINK("https://ra-matina.ru/?vendor_code=KrscroN004Б")</f>
        <v>https://ra-matina.ru/?vendor_code=KrscroN004Б</v>
      </c>
      <c r="D34" s="15" t="s">
        <v>21</v>
      </c>
      <c r="E34" s="19" t="s">
        <v>752</v>
      </c>
      <c r="F34" s="15" t="s">
        <v>15</v>
      </c>
      <c r="G34" s="21">
        <v>28000.0</v>
      </c>
    </row>
    <row r="35" ht="13.5" customHeight="1">
      <c r="A35" s="55" t="s">
        <v>815</v>
      </c>
      <c r="B35" s="52" t="s">
        <v>816</v>
      </c>
      <c r="C35" s="17" t="str">
        <f>HYPERLINK("https://ra-matina.ru/?vendor_code=KRD034A2GGSC")</f>
        <v>https://ra-matina.ru/?vendor_code=KRD034A2GGSC</v>
      </c>
      <c r="D35" s="53" t="s">
        <v>13</v>
      </c>
      <c r="E35" s="19" t="s">
        <v>752</v>
      </c>
      <c r="F35" s="15" t="s">
        <v>15</v>
      </c>
      <c r="G35" s="54" t="s">
        <v>280</v>
      </c>
    </row>
    <row r="36" ht="13.5" customHeight="1">
      <c r="A36" s="15" t="s">
        <v>817</v>
      </c>
      <c r="B36" s="52" t="s">
        <v>818</v>
      </c>
      <c r="C36" s="17" t="str">
        <f>HYPERLINK("https://ra-matina.ru/?vendor_code=KrscroN006А")</f>
        <v>https://ra-matina.ru/?vendor_code=KrscroN006А</v>
      </c>
      <c r="D36" s="15" t="s">
        <v>28</v>
      </c>
      <c r="E36" s="19" t="s">
        <v>763</v>
      </c>
      <c r="F36" s="15" t="s">
        <v>15</v>
      </c>
      <c r="G36" s="21">
        <v>29000.0</v>
      </c>
    </row>
    <row r="37" ht="13.5" customHeight="1">
      <c r="A37" s="51" t="s">
        <v>819</v>
      </c>
      <c r="B37" s="52" t="s">
        <v>820</v>
      </c>
      <c r="C37" s="17" t="str">
        <f>HYPERLINK("https://ra-matina.ru/?vendor_code=UM_110")</f>
        <v>https://ra-matina.ru/?vendor_code=UM_110</v>
      </c>
      <c r="D37" s="53" t="s">
        <v>760</v>
      </c>
      <c r="E37" s="19" t="s">
        <v>752</v>
      </c>
      <c r="F37" s="15" t="s">
        <v>15</v>
      </c>
      <c r="G37" s="54" t="s">
        <v>110</v>
      </c>
    </row>
    <row r="38" ht="13.5" customHeight="1">
      <c r="A38" s="15" t="s">
        <v>821</v>
      </c>
      <c r="B38" s="52" t="s">
        <v>822</v>
      </c>
      <c r="C38" s="17" t="str">
        <f>HYPERLINK("https://ra-matina.ru/?vendor_code=KrscroN008А")</f>
        <v>https://ra-matina.ru/?vendor_code=KrscroN008А</v>
      </c>
      <c r="D38" s="15" t="s">
        <v>28</v>
      </c>
      <c r="E38" s="19" t="s">
        <v>763</v>
      </c>
      <c r="F38" s="15" t="s">
        <v>15</v>
      </c>
      <c r="G38" s="21">
        <v>29000.0</v>
      </c>
    </row>
    <row r="39" ht="13.5" customHeight="1">
      <c r="A39" s="51" t="s">
        <v>823</v>
      </c>
      <c r="B39" s="52" t="s">
        <v>824</v>
      </c>
      <c r="C39" s="17" t="str">
        <f>HYPERLINK("https://ra-matina.ru/?vendor_code=UM_112")</f>
        <v>https://ra-matina.ru/?vendor_code=UM_112</v>
      </c>
      <c r="D39" s="53" t="s">
        <v>28</v>
      </c>
      <c r="E39" s="19" t="s">
        <v>763</v>
      </c>
      <c r="F39" s="15" t="s">
        <v>15</v>
      </c>
      <c r="G39" s="54" t="s">
        <v>280</v>
      </c>
    </row>
    <row r="40" ht="13.5" customHeight="1">
      <c r="A40" s="51" t="s">
        <v>825</v>
      </c>
      <c r="B40" s="52" t="s">
        <v>826</v>
      </c>
      <c r="C40" s="17" t="str">
        <f>HYPERLINK("https://ra-matina.ru/?vendor_code=pa_035")</f>
        <v>https://ra-matina.ru/?vendor_code=pa_035</v>
      </c>
      <c r="D40" s="53" t="s">
        <v>13</v>
      </c>
      <c r="E40" s="19" t="s">
        <v>752</v>
      </c>
      <c r="F40" s="15" t="s">
        <v>15</v>
      </c>
      <c r="G40" s="54" t="s">
        <v>110</v>
      </c>
    </row>
    <row r="41" ht="13.5" customHeight="1">
      <c r="A41" s="53" t="s">
        <v>827</v>
      </c>
      <c r="B41" s="52" t="s">
        <v>828</v>
      </c>
      <c r="C41" s="17" t="str">
        <f>HYPERLINK("https://ra-matina.ru/?vendor_code=pa_062")</f>
        <v>https://ra-matina.ru/?vendor_code=pa_062</v>
      </c>
      <c r="D41" s="53" t="s">
        <v>18</v>
      </c>
      <c r="E41" s="19" t="s">
        <v>752</v>
      </c>
      <c r="F41" s="15" t="s">
        <v>15</v>
      </c>
      <c r="G41" s="54" t="s">
        <v>110</v>
      </c>
    </row>
    <row r="42" ht="13.5" customHeight="1">
      <c r="A42" s="15" t="s">
        <v>829</v>
      </c>
      <c r="B42" s="52" t="s">
        <v>830</v>
      </c>
      <c r="C42" s="17" t="str">
        <f>HYPERLINK("https://ra-matina.ru/?vendor_code=KrscroN009А")</f>
        <v>https://ra-matina.ru/?vendor_code=KrscroN009А</v>
      </c>
      <c r="D42" s="15" t="s">
        <v>28</v>
      </c>
      <c r="E42" s="19" t="s">
        <v>763</v>
      </c>
      <c r="F42" s="15" t="s">
        <v>15</v>
      </c>
      <c r="G42" s="21">
        <v>27500.0</v>
      </c>
    </row>
    <row r="43" ht="13.5" customHeight="1">
      <c r="A43" s="51" t="s">
        <v>831</v>
      </c>
      <c r="B43" s="52" t="s">
        <v>832</v>
      </c>
      <c r="C43" s="17" t="str">
        <f>HYPERLINK("https://ra-matina.ru/?vendor_code=pa_028")</f>
        <v>https://ra-matina.ru/?vendor_code=pa_028</v>
      </c>
      <c r="D43" s="53" t="s">
        <v>21</v>
      </c>
      <c r="E43" s="19" t="s">
        <v>763</v>
      </c>
      <c r="F43" s="15" t="s">
        <v>15</v>
      </c>
      <c r="G43" s="54" t="s">
        <v>833</v>
      </c>
    </row>
    <row r="44" ht="13.5" customHeight="1">
      <c r="A44" s="51" t="s">
        <v>834</v>
      </c>
      <c r="B44" s="52" t="s">
        <v>832</v>
      </c>
      <c r="C44" s="17" t="str">
        <f>HYPERLINK("https://ra-matina.ru/?vendor_code=pa_027")</f>
        <v>https://ra-matina.ru/?vendor_code=pa_027</v>
      </c>
      <c r="D44" s="53" t="s">
        <v>43</v>
      </c>
      <c r="E44" s="19" t="s">
        <v>752</v>
      </c>
      <c r="F44" s="15" t="s">
        <v>15</v>
      </c>
      <c r="G44" s="54" t="s">
        <v>93</v>
      </c>
    </row>
    <row r="45" ht="13.5" customHeight="1">
      <c r="A45" s="51" t="s">
        <v>835</v>
      </c>
      <c r="B45" s="52" t="s">
        <v>836</v>
      </c>
      <c r="C45" s="17" t="str">
        <f>HYPERLINK("https://ra-matina.ru/?vendor_code=pa_026")</f>
        <v>https://ra-matina.ru/?vendor_code=pa_026</v>
      </c>
      <c r="D45" s="53" t="s">
        <v>43</v>
      </c>
      <c r="E45" s="19" t="s">
        <v>752</v>
      </c>
      <c r="F45" s="15" t="s">
        <v>15</v>
      </c>
      <c r="G45" s="54" t="s">
        <v>771</v>
      </c>
    </row>
    <row r="46" ht="13.5" customHeight="1">
      <c r="A46" s="51" t="s">
        <v>837</v>
      </c>
      <c r="B46" s="52" t="s">
        <v>838</v>
      </c>
      <c r="C46" s="17" t="str">
        <f>HYPERLINK("https://ra-matina.ru/?vendor_code=UM_089")</f>
        <v>https://ra-matina.ru/?vendor_code=UM_089</v>
      </c>
      <c r="D46" s="53" t="s">
        <v>28</v>
      </c>
      <c r="E46" s="19" t="s">
        <v>763</v>
      </c>
      <c r="F46" s="15" t="s">
        <v>15</v>
      </c>
      <c r="G46" s="54" t="s">
        <v>280</v>
      </c>
    </row>
    <row r="47" ht="13.5" customHeight="1">
      <c r="A47" s="55" t="s">
        <v>839</v>
      </c>
      <c r="B47" s="52" t="s">
        <v>840</v>
      </c>
      <c r="C47" s="17" t="str">
        <f>HYPERLINK("https://ra-matina.ru/?vendor_code=KRD021B5GGSC")</f>
        <v>https://ra-matina.ru/?vendor_code=KRD021B5GGSC</v>
      </c>
      <c r="D47" s="53" t="s">
        <v>770</v>
      </c>
      <c r="E47" s="19" t="s">
        <v>752</v>
      </c>
      <c r="F47" s="15" t="s">
        <v>15</v>
      </c>
      <c r="G47" s="54" t="s">
        <v>757</v>
      </c>
    </row>
    <row r="48" ht="13.5" customHeight="1">
      <c r="A48" s="55" t="s">
        <v>841</v>
      </c>
      <c r="B48" s="52" t="s">
        <v>842</v>
      </c>
      <c r="C48" s="17" t="str">
        <f>HYPERLINK("https://ra-matina.ru/?vendor_code=KRD022B1GGSC")</f>
        <v>https://ra-matina.ru/?vendor_code=KRD022B1GGSC</v>
      </c>
      <c r="D48" s="53" t="s">
        <v>21</v>
      </c>
      <c r="E48" s="19" t="s">
        <v>763</v>
      </c>
      <c r="F48" s="15" t="s">
        <v>15</v>
      </c>
      <c r="G48" s="54" t="s">
        <v>757</v>
      </c>
    </row>
    <row r="49" ht="13.5" customHeight="1">
      <c r="A49" s="55" t="s">
        <v>843</v>
      </c>
      <c r="B49" s="52" t="s">
        <v>844</v>
      </c>
      <c r="C49" s="17" t="str">
        <f>HYPERLINK("https://ra-matina.ru/?vendor_code=KRD018A1GGSC")</f>
        <v>https://ra-matina.ru/?vendor_code=KRD018A1GGSC</v>
      </c>
      <c r="D49" s="53" t="s">
        <v>43</v>
      </c>
      <c r="E49" s="19" t="s">
        <v>752</v>
      </c>
      <c r="F49" s="15" t="s">
        <v>15</v>
      </c>
      <c r="G49" s="54" t="s">
        <v>845</v>
      </c>
    </row>
    <row r="50" ht="13.5" customHeight="1">
      <c r="A50" s="55" t="s">
        <v>846</v>
      </c>
      <c r="B50" s="52" t="s">
        <v>847</v>
      </c>
      <c r="C50" s="17" t="str">
        <f>HYPERLINK("https://ra-matina.ru/?vendor_code=KRD020B1GGSC")</f>
        <v>https://ra-matina.ru/?vendor_code=KRD020B1GGSC</v>
      </c>
      <c r="D50" s="53" t="s">
        <v>31</v>
      </c>
      <c r="E50" s="19" t="s">
        <v>752</v>
      </c>
      <c r="F50" s="15" t="s">
        <v>15</v>
      </c>
      <c r="G50" s="54" t="s">
        <v>757</v>
      </c>
    </row>
    <row r="51" ht="13.5" customHeight="1">
      <c r="A51" s="15" t="s">
        <v>848</v>
      </c>
      <c r="B51" s="52" t="s">
        <v>849</v>
      </c>
      <c r="C51" s="17" t="str">
        <f>HYPERLINK("https://ra-matina.ru/?vendor_code=KrscroN007А")</f>
        <v>https://ra-matina.ru/?vendor_code=KrscroN007А</v>
      </c>
      <c r="D51" s="15" t="s">
        <v>28</v>
      </c>
      <c r="E51" s="19" t="s">
        <v>763</v>
      </c>
      <c r="F51" s="15" t="s">
        <v>15</v>
      </c>
      <c r="G51" s="21">
        <v>28500.0</v>
      </c>
    </row>
    <row r="52" ht="13.5" customHeight="1">
      <c r="A52" s="51" t="s">
        <v>850</v>
      </c>
      <c r="B52" s="52" t="s">
        <v>851</v>
      </c>
      <c r="C52" s="17" t="str">
        <f>HYPERLINK("https://ra-matina.ru/?vendor_code=art_420")</f>
        <v>https://ra-matina.ru/?vendor_code=art_420</v>
      </c>
      <c r="D52" s="53" t="s">
        <v>43</v>
      </c>
      <c r="E52" s="19" t="s">
        <v>752</v>
      </c>
      <c r="F52" s="15" t="s">
        <v>15</v>
      </c>
      <c r="G52" s="54" t="s">
        <v>110</v>
      </c>
    </row>
    <row r="53" ht="13.5" customHeight="1">
      <c r="A53" s="51" t="s">
        <v>852</v>
      </c>
      <c r="B53" s="52" t="s">
        <v>853</v>
      </c>
      <c r="C53" s="17" t="str">
        <f>HYPERLINK("https://ra-matina.ru/?vendor_code=art_641")</f>
        <v>https://ra-matina.ru/?vendor_code=art_641</v>
      </c>
      <c r="D53" s="53" t="s">
        <v>21</v>
      </c>
      <c r="E53" s="19" t="s">
        <v>763</v>
      </c>
      <c r="F53" s="15" t="s">
        <v>15</v>
      </c>
      <c r="G53" s="54" t="s">
        <v>854</v>
      </c>
    </row>
    <row r="54" ht="13.5" customHeight="1">
      <c r="A54" s="51" t="s">
        <v>855</v>
      </c>
      <c r="B54" s="52" t="s">
        <v>856</v>
      </c>
      <c r="C54" s="17" t="str">
        <f>HYPERLINK("https://ra-matina.ru/?vendor_code=UM_131")</f>
        <v>https://ra-matina.ru/?vendor_code=UM_131</v>
      </c>
      <c r="D54" s="53" t="s">
        <v>28</v>
      </c>
      <c r="E54" s="19" t="s">
        <v>763</v>
      </c>
      <c r="F54" s="15" t="s">
        <v>15</v>
      </c>
      <c r="G54" s="54" t="s">
        <v>854</v>
      </c>
    </row>
    <row r="55" ht="13.5" customHeight="1">
      <c r="A55" s="51" t="s">
        <v>857</v>
      </c>
      <c r="B55" s="52" t="s">
        <v>858</v>
      </c>
      <c r="C55" s="17" t="str">
        <f>HYPERLINK("https://ra-matina.ru/?vendor_code=UM_082")</f>
        <v>https://ra-matina.ru/?vendor_code=UM_082</v>
      </c>
      <c r="D55" s="53" t="s">
        <v>43</v>
      </c>
      <c r="E55" s="19" t="s">
        <v>752</v>
      </c>
      <c r="F55" s="15" t="s">
        <v>15</v>
      </c>
      <c r="G55" s="54" t="s">
        <v>347</v>
      </c>
    </row>
    <row r="56" ht="13.5" customHeight="1">
      <c r="A56" s="51" t="s">
        <v>859</v>
      </c>
      <c r="B56" s="52" t="s">
        <v>860</v>
      </c>
      <c r="C56" s="17" t="str">
        <f>HYPERLINK("https://ra-matina.ru/?vendor_code=art_613")</f>
        <v>https://ra-matina.ru/?vendor_code=art_613</v>
      </c>
      <c r="D56" s="53" t="s">
        <v>770</v>
      </c>
      <c r="E56" s="19" t="s">
        <v>752</v>
      </c>
      <c r="F56" s="15" t="s">
        <v>15</v>
      </c>
      <c r="G56" s="54" t="s">
        <v>771</v>
      </c>
    </row>
    <row r="57" ht="13.5" customHeight="1">
      <c r="A57" s="51" t="s">
        <v>861</v>
      </c>
      <c r="B57" s="52" t="s">
        <v>862</v>
      </c>
      <c r="C57" s="17" t="str">
        <f>HYPERLINK("https://ra-matina.ru/?vendor_code=UM_122")</f>
        <v>https://ra-matina.ru/?vendor_code=UM_122</v>
      </c>
      <c r="D57" s="53" t="s">
        <v>28</v>
      </c>
      <c r="E57" s="19" t="s">
        <v>763</v>
      </c>
      <c r="F57" s="15" t="s">
        <v>15</v>
      </c>
      <c r="G57" s="54" t="s">
        <v>23</v>
      </c>
    </row>
    <row r="58" ht="13.5" customHeight="1">
      <c r="A58" s="15" t="s">
        <v>863</v>
      </c>
      <c r="B58" s="52" t="s">
        <v>864</v>
      </c>
      <c r="C58" s="17" t="str">
        <f>HYPERLINK("https://ra-matina.ru/?vendor_code=KrscroN010А")</f>
        <v>https://ra-matina.ru/?vendor_code=KrscroN010А</v>
      </c>
      <c r="D58" s="15" t="s">
        <v>28</v>
      </c>
      <c r="E58" s="19" t="s">
        <v>763</v>
      </c>
      <c r="F58" s="15" t="s">
        <v>15</v>
      </c>
      <c r="G58" s="21">
        <v>27000.0</v>
      </c>
    </row>
    <row r="59" ht="13.5" customHeight="1">
      <c r="A59" s="53" t="s">
        <v>865</v>
      </c>
      <c r="B59" s="52" t="s">
        <v>866</v>
      </c>
      <c r="C59" s="17" t="str">
        <f>HYPERLINK("https://ra-matina.ru/?vendor_code=art_431")</f>
        <v>https://ra-matina.ru/?vendor_code=art_431</v>
      </c>
      <c r="D59" s="53" t="s">
        <v>760</v>
      </c>
      <c r="E59" s="19" t="s">
        <v>752</v>
      </c>
      <c r="F59" s="15" t="s">
        <v>15</v>
      </c>
      <c r="G59" s="54" t="s">
        <v>393</v>
      </c>
    </row>
    <row r="60" ht="13.5" customHeight="1">
      <c r="A60" s="55" t="s">
        <v>867</v>
      </c>
      <c r="B60" s="52" t="s">
        <v>868</v>
      </c>
      <c r="C60" s="17" t="str">
        <f>HYPERLINK("https://ra-matina.ru/?vendor_code=KRD024B4GGSC")</f>
        <v>https://ra-matina.ru/?vendor_code=KRD024B4GGSC</v>
      </c>
      <c r="D60" s="53" t="s">
        <v>756</v>
      </c>
      <c r="E60" s="19" t="s">
        <v>752</v>
      </c>
      <c r="F60" s="15" t="s">
        <v>15</v>
      </c>
      <c r="G60" s="54" t="s">
        <v>757</v>
      </c>
    </row>
    <row r="61" ht="13.5" customHeight="1">
      <c r="A61" s="51" t="s">
        <v>869</v>
      </c>
      <c r="B61" s="52" t="s">
        <v>870</v>
      </c>
      <c r="C61" s="17" t="str">
        <f>HYPERLINK("https://ra-matina.ru/?vendor_code=UM_280")</f>
        <v>https://ra-matina.ru/?vendor_code=UM_280</v>
      </c>
      <c r="D61" s="53" t="s">
        <v>756</v>
      </c>
      <c r="E61" s="19" t="s">
        <v>752</v>
      </c>
      <c r="F61" s="15" t="s">
        <v>15</v>
      </c>
      <c r="G61" s="54" t="s">
        <v>89</v>
      </c>
    </row>
    <row r="62" ht="13.5" customHeight="1">
      <c r="A62" s="51" t="s">
        <v>871</v>
      </c>
      <c r="B62" s="52" t="s">
        <v>872</v>
      </c>
      <c r="C62" s="17" t="str">
        <f>HYPERLINK("https://ra-matina.ru/?vendor_code=art_008")</f>
        <v>https://ra-matina.ru/?vendor_code=art_008</v>
      </c>
      <c r="D62" s="53" t="s">
        <v>21</v>
      </c>
      <c r="E62" s="19" t="s">
        <v>763</v>
      </c>
      <c r="F62" s="15" t="s">
        <v>15</v>
      </c>
      <c r="G62" s="54" t="s">
        <v>110</v>
      </c>
    </row>
    <row r="63" ht="13.5" customHeight="1">
      <c r="A63" s="15" t="s">
        <v>873</v>
      </c>
      <c r="B63" s="52" t="s">
        <v>874</v>
      </c>
      <c r="C63" s="17" t="str">
        <f>HYPERLINK("https://ra-matina.ru/?vendor_code=KrscroN011А")</f>
        <v>https://ra-matina.ru/?vendor_code=KrscroN011А</v>
      </c>
      <c r="D63" s="15" t="s">
        <v>28</v>
      </c>
      <c r="E63" s="19" t="s">
        <v>763</v>
      </c>
      <c r="F63" s="15" t="s">
        <v>15</v>
      </c>
      <c r="G63" s="21">
        <v>28500.0</v>
      </c>
    </row>
    <row r="64" ht="13.5" customHeight="1">
      <c r="A64" s="51" t="s">
        <v>875</v>
      </c>
      <c r="B64" s="52" t="s">
        <v>876</v>
      </c>
      <c r="C64" s="17" t="str">
        <f>HYPERLINK("https://ra-matina.ru/?vendor_code=UM_080")</f>
        <v>https://ra-matina.ru/?vendor_code=UM_080</v>
      </c>
      <c r="D64" s="53" t="s">
        <v>21</v>
      </c>
      <c r="E64" s="19" t="s">
        <v>763</v>
      </c>
      <c r="F64" s="15" t="s">
        <v>15</v>
      </c>
      <c r="G64" s="54" t="s">
        <v>877</v>
      </c>
    </row>
    <row r="65" ht="13.5" customHeight="1">
      <c r="A65" s="51" t="s">
        <v>878</v>
      </c>
      <c r="B65" s="52" t="s">
        <v>879</v>
      </c>
      <c r="C65" s="17" t="str">
        <f>HYPERLINK("https://ra-matina.ru/?vendor_code=pa_064")</f>
        <v>https://ra-matina.ru/?vendor_code=pa_064</v>
      </c>
      <c r="D65" s="53" t="s">
        <v>302</v>
      </c>
      <c r="E65" s="19" t="s">
        <v>752</v>
      </c>
      <c r="F65" s="15" t="s">
        <v>15</v>
      </c>
      <c r="G65" s="54" t="s">
        <v>771</v>
      </c>
    </row>
    <row r="66" ht="13.5" customHeight="1">
      <c r="A66" s="51" t="s">
        <v>880</v>
      </c>
      <c r="B66" s="52" t="s">
        <v>881</v>
      </c>
      <c r="C66" s="17" t="str">
        <f>HYPERLINK("https://ra-matina.ru/?vendor_code=art_653")</f>
        <v>https://ra-matina.ru/?vendor_code=art_653</v>
      </c>
      <c r="D66" s="53" t="s">
        <v>21</v>
      </c>
      <c r="E66" s="19" t="s">
        <v>763</v>
      </c>
      <c r="F66" s="15" t="s">
        <v>15</v>
      </c>
      <c r="G66" s="54" t="s">
        <v>877</v>
      </c>
    </row>
    <row r="67" ht="13.5" customHeight="1">
      <c r="A67" s="51" t="s">
        <v>882</v>
      </c>
      <c r="B67" s="52" t="s">
        <v>883</v>
      </c>
      <c r="C67" s="17" t="str">
        <f>HYPERLINK("https://ra-matina.ru/?vendor_code=art_650")</f>
        <v>https://ra-matina.ru/?vendor_code=art_650</v>
      </c>
      <c r="D67" s="53" t="s">
        <v>770</v>
      </c>
      <c r="E67" s="19" t="s">
        <v>752</v>
      </c>
      <c r="F67" s="15" t="s">
        <v>15</v>
      </c>
      <c r="G67" s="54" t="s">
        <v>771</v>
      </c>
    </row>
    <row r="68" ht="13.5" customHeight="1">
      <c r="A68" s="55" t="s">
        <v>884</v>
      </c>
      <c r="B68" s="52" t="s">
        <v>885</v>
      </c>
      <c r="C68" s="17" t="str">
        <f>HYPERLINK("https://ra-matina.ru/?vendor_code=KRD025B4GGSC")</f>
        <v>https://ra-matina.ru/?vendor_code=KRD025B4GGSC</v>
      </c>
      <c r="D68" s="53" t="s">
        <v>756</v>
      </c>
      <c r="E68" s="19" t="s">
        <v>752</v>
      </c>
      <c r="F68" s="15" t="s">
        <v>15</v>
      </c>
      <c r="G68" s="54" t="s">
        <v>757</v>
      </c>
    </row>
    <row r="69" ht="13.5" customHeight="1">
      <c r="A69" s="55" t="s">
        <v>886</v>
      </c>
      <c r="B69" s="52" t="s">
        <v>885</v>
      </c>
      <c r="C69" s="17" t="str">
        <f>HYPERLINK("https://ra-matina.ru/?vendor_code=KRD025A1GGSC")</f>
        <v>https://ra-matina.ru/?vendor_code=KRD025A1GGSC</v>
      </c>
      <c r="D69" s="53" t="s">
        <v>43</v>
      </c>
      <c r="E69" s="19" t="s">
        <v>752</v>
      </c>
      <c r="F69" s="15" t="s">
        <v>15</v>
      </c>
      <c r="G69" s="54" t="s">
        <v>845</v>
      </c>
    </row>
    <row r="70" ht="13.5" customHeight="1">
      <c r="A70" s="55" t="s">
        <v>887</v>
      </c>
      <c r="B70" s="52" t="s">
        <v>888</v>
      </c>
      <c r="C70" s="17" t="str">
        <f>HYPERLINK("https://ra-matina.ru/?vendor_code=KRD036A3GGSC")</f>
        <v>https://ra-matina.ru/?vendor_code=KRD036A3GGSC</v>
      </c>
      <c r="D70" s="53" t="s">
        <v>31</v>
      </c>
      <c r="E70" s="19" t="s">
        <v>752</v>
      </c>
      <c r="F70" s="15" t="s">
        <v>15</v>
      </c>
      <c r="G70" s="54" t="s">
        <v>889</v>
      </c>
    </row>
    <row r="71" ht="13.5" customHeight="1">
      <c r="A71" s="51" t="s">
        <v>890</v>
      </c>
      <c r="B71" s="52" t="s">
        <v>891</v>
      </c>
      <c r="C71" s="17" t="str">
        <f>HYPERLINK("https://ra-matina.ru/?vendor_code=pa_245")</f>
        <v>https://ra-matina.ru/?vendor_code=pa_245</v>
      </c>
      <c r="D71" s="53" t="s">
        <v>21</v>
      </c>
      <c r="E71" s="19" t="s">
        <v>763</v>
      </c>
      <c r="F71" s="15" t="s">
        <v>15</v>
      </c>
      <c r="G71" s="54" t="s">
        <v>892</v>
      </c>
    </row>
    <row r="72" ht="13.5" customHeight="1">
      <c r="A72" s="51" t="s">
        <v>893</v>
      </c>
      <c r="B72" s="52" t="s">
        <v>894</v>
      </c>
      <c r="C72" s="17" t="str">
        <f>HYPERLINK("https://ra-matina.ru/?vendor_code=pa_002")</f>
        <v>https://ra-matina.ru/?vendor_code=pa_002</v>
      </c>
      <c r="D72" s="53" t="s">
        <v>760</v>
      </c>
      <c r="E72" s="19" t="s">
        <v>752</v>
      </c>
      <c r="F72" s="15" t="s">
        <v>15</v>
      </c>
      <c r="G72" s="54" t="s">
        <v>895</v>
      </c>
    </row>
    <row r="73" ht="13.5" customHeight="1">
      <c r="A73" s="51" t="s">
        <v>896</v>
      </c>
      <c r="B73" s="52" t="s">
        <v>897</v>
      </c>
      <c r="C73" s="17" t="str">
        <f>HYPERLINK("https://ra-matina.ru/?vendor_code=pa_094")</f>
        <v>https://ra-matina.ru/?vendor_code=pa_094</v>
      </c>
      <c r="D73" s="53" t="s">
        <v>898</v>
      </c>
      <c r="E73" s="19" t="s">
        <v>752</v>
      </c>
      <c r="F73" s="15" t="s">
        <v>15</v>
      </c>
      <c r="G73" s="54" t="s">
        <v>284</v>
      </c>
    </row>
    <row r="74" ht="13.5" customHeight="1">
      <c r="A74" s="51" t="s">
        <v>899</v>
      </c>
      <c r="B74" s="52" t="s">
        <v>900</v>
      </c>
      <c r="C74" s="17" t="str">
        <f>HYPERLINK("https://ra-matina.ru/?vendor_code=UM_144")</f>
        <v>https://ra-matina.ru/?vendor_code=UM_144</v>
      </c>
      <c r="D74" s="53" t="s">
        <v>13</v>
      </c>
      <c r="E74" s="19" t="s">
        <v>752</v>
      </c>
      <c r="F74" s="15" t="s">
        <v>15</v>
      </c>
      <c r="G74" s="54" t="s">
        <v>16</v>
      </c>
    </row>
    <row r="75" ht="13.5" customHeight="1">
      <c r="A75" s="53" t="s">
        <v>901</v>
      </c>
      <c r="B75" s="52" t="s">
        <v>902</v>
      </c>
      <c r="C75" s="17" t="str">
        <f>HYPERLINK("https://ra-matina.ru/?vendor_code=art_669")</f>
        <v>https://ra-matina.ru/?vendor_code=art_669</v>
      </c>
      <c r="D75" s="53" t="s">
        <v>43</v>
      </c>
      <c r="E75" s="19" t="s">
        <v>752</v>
      </c>
      <c r="F75" s="15" t="s">
        <v>15</v>
      </c>
      <c r="G75" s="54" t="s">
        <v>284</v>
      </c>
    </row>
    <row r="76" ht="13.5" customHeight="1">
      <c r="A76" s="53" t="s">
        <v>903</v>
      </c>
      <c r="B76" s="52" t="s">
        <v>904</v>
      </c>
      <c r="C76" s="17" t="str">
        <f>HYPERLINK("https://ra-matina.ru/?vendor_code=art_515")</f>
        <v>https://ra-matina.ru/?vendor_code=art_515</v>
      </c>
      <c r="D76" s="53" t="s">
        <v>644</v>
      </c>
      <c r="E76" s="19" t="s">
        <v>752</v>
      </c>
      <c r="F76" s="15" t="s">
        <v>15</v>
      </c>
      <c r="G76" s="54" t="s">
        <v>284</v>
      </c>
    </row>
    <row r="77" ht="13.5" customHeight="1">
      <c r="A77" s="15" t="s">
        <v>905</v>
      </c>
      <c r="B77" s="52" t="s">
        <v>906</v>
      </c>
      <c r="C77" s="17" t="str">
        <f>HYPERLINK("https://ra-matina.ru/?vendor_code=KrscroN011А3")</f>
        <v>https://ra-matina.ru/?vendor_code=KrscroN011А3</v>
      </c>
      <c r="D77" s="15" t="s">
        <v>18</v>
      </c>
      <c r="E77" s="19" t="s">
        <v>752</v>
      </c>
      <c r="F77" s="15" t="s">
        <v>15</v>
      </c>
      <c r="G77" s="21">
        <v>37000.0</v>
      </c>
    </row>
    <row r="78" ht="13.5" customHeight="1">
      <c r="A78" s="15" t="s">
        <v>907</v>
      </c>
      <c r="B78" s="52" t="s">
        <v>908</v>
      </c>
      <c r="C78" s="17" t="str">
        <f>HYPERLINK("https://ra-matina.ru/?vendor_code=KrscroN011_1А3")</f>
        <v>https://ra-matina.ru/?vendor_code=KrscroN011_1А3</v>
      </c>
      <c r="D78" s="15" t="s">
        <v>13</v>
      </c>
      <c r="E78" s="19" t="s">
        <v>752</v>
      </c>
      <c r="F78" s="15" t="s">
        <v>15</v>
      </c>
      <c r="G78" s="21">
        <v>37000.0</v>
      </c>
    </row>
    <row r="79" ht="13.5" customHeight="1">
      <c r="A79" s="51" t="s">
        <v>909</v>
      </c>
      <c r="B79" s="52" t="s">
        <v>910</v>
      </c>
      <c r="C79" s="17" t="str">
        <f>HYPERLINK("https://ra-matina.ru/?vendor_code=pa_202")</f>
        <v>https://ra-matina.ru/?vendor_code=pa_202</v>
      </c>
      <c r="D79" s="53" t="s">
        <v>760</v>
      </c>
      <c r="E79" s="19" t="s">
        <v>752</v>
      </c>
      <c r="F79" s="15" t="s">
        <v>40</v>
      </c>
      <c r="G79" s="54" t="s">
        <v>176</v>
      </c>
    </row>
    <row r="80" ht="13.5" customHeight="1">
      <c r="A80" s="53" t="s">
        <v>911</v>
      </c>
      <c r="B80" s="52" t="s">
        <v>912</v>
      </c>
      <c r="C80" s="17" t="str">
        <f>HYPERLINK("https://ra-matina.ru/?vendor_code=art_658")</f>
        <v>https://ra-matina.ru/?vendor_code=art_658</v>
      </c>
      <c r="D80" s="53" t="s">
        <v>13</v>
      </c>
      <c r="E80" s="19" t="s">
        <v>752</v>
      </c>
      <c r="F80" s="15" t="s">
        <v>15</v>
      </c>
      <c r="G80" s="54" t="s">
        <v>854</v>
      </c>
    </row>
    <row r="81" ht="13.5" customHeight="1">
      <c r="A81" s="15" t="s">
        <v>913</v>
      </c>
      <c r="B81" s="52" t="s">
        <v>914</v>
      </c>
      <c r="C81" s="17" t="str">
        <f>HYPERLINK("https://ra-matina.ru/?vendor_code=KrscroN013А")</f>
        <v>https://ra-matina.ru/?vendor_code=KrscroN013А</v>
      </c>
      <c r="D81" s="15" t="s">
        <v>28</v>
      </c>
      <c r="E81" s="19" t="s">
        <v>763</v>
      </c>
      <c r="F81" s="15" t="s">
        <v>40</v>
      </c>
      <c r="G81" s="21">
        <v>28500.0</v>
      </c>
    </row>
    <row r="82" ht="13.5" customHeight="1">
      <c r="A82" s="15" t="s">
        <v>915</v>
      </c>
      <c r="B82" s="52" t="s">
        <v>916</v>
      </c>
      <c r="C82" s="17" t="str">
        <f>HYPERLINK("https://ra-matina.ru/?vendor_code=KrscroN012А1")</f>
        <v>https://ra-matina.ru/?vendor_code=KrscroN012А1</v>
      </c>
      <c r="D82" s="15" t="s">
        <v>28</v>
      </c>
      <c r="E82" s="19" t="s">
        <v>763</v>
      </c>
      <c r="F82" s="15" t="s">
        <v>15</v>
      </c>
      <c r="G82" s="21">
        <v>25500.0</v>
      </c>
    </row>
    <row r="83" ht="13.5" customHeight="1">
      <c r="A83" s="51" t="s">
        <v>917</v>
      </c>
      <c r="B83" s="52" t="s">
        <v>918</v>
      </c>
      <c r="C83" s="17" t="str">
        <f>HYPERLINK("https://ra-matina.ru/?vendor_code=art_644")</f>
        <v>https://ra-matina.ru/?vendor_code=art_644</v>
      </c>
      <c r="D83" s="53" t="s">
        <v>21</v>
      </c>
      <c r="E83" s="19" t="s">
        <v>763</v>
      </c>
      <c r="F83" s="15" t="s">
        <v>15</v>
      </c>
      <c r="G83" s="54" t="s">
        <v>280</v>
      </c>
    </row>
    <row r="84" ht="13.5" customHeight="1">
      <c r="A84" s="53" t="s">
        <v>919</v>
      </c>
      <c r="B84" s="52" t="s">
        <v>920</v>
      </c>
      <c r="C84" s="17" t="str">
        <f>HYPERLINK("https://ra-matina.ru/?vendor_code=UM_207")</f>
        <v>https://ra-matina.ru/?vendor_code=UM_207</v>
      </c>
      <c r="D84" s="53" t="s">
        <v>898</v>
      </c>
      <c r="E84" s="19" t="s">
        <v>752</v>
      </c>
      <c r="F84" s="15" t="s">
        <v>15</v>
      </c>
      <c r="G84" s="54" t="s">
        <v>110</v>
      </c>
    </row>
    <row r="85" ht="13.5" customHeight="1">
      <c r="A85" s="15" t="s">
        <v>921</v>
      </c>
      <c r="B85" s="52" t="s">
        <v>922</v>
      </c>
      <c r="C85" s="17" t="str">
        <f>HYPERLINK("https://ra-matina.ru/?vendor_code=KrscroN017А")</f>
        <v>https://ra-matina.ru/?vendor_code=KrscroN017А</v>
      </c>
      <c r="D85" s="15" t="s">
        <v>28</v>
      </c>
      <c r="E85" s="19" t="s">
        <v>763</v>
      </c>
      <c r="F85" s="15" t="s">
        <v>923</v>
      </c>
      <c r="G85" s="21">
        <v>30000.0</v>
      </c>
    </row>
    <row r="86" ht="13.5" customHeight="1">
      <c r="A86" s="15" t="s">
        <v>924</v>
      </c>
      <c r="B86" s="52" t="s">
        <v>922</v>
      </c>
      <c r="C86" s="17" t="str">
        <f>HYPERLINK("https://ra-matina.ru/?vendor_code=KrscroN018Б")</f>
        <v>https://ra-matina.ru/?vendor_code=KrscroN018Б</v>
      </c>
      <c r="D86" s="15" t="s">
        <v>21</v>
      </c>
      <c r="E86" s="19" t="s">
        <v>763</v>
      </c>
      <c r="F86" s="15" t="s">
        <v>923</v>
      </c>
      <c r="G86" s="21">
        <v>30000.0</v>
      </c>
    </row>
    <row r="87" ht="13.5" customHeight="1">
      <c r="A87" s="15" t="s">
        <v>925</v>
      </c>
      <c r="B87" s="52" t="s">
        <v>926</v>
      </c>
      <c r="C87" s="17" t="str">
        <f>HYPERLINK("https://ra-matina.ru/?vendor_code=KrscroN012А")</f>
        <v>https://ra-matina.ru/?vendor_code=KrscroN012А</v>
      </c>
      <c r="D87" s="15" t="s">
        <v>28</v>
      </c>
      <c r="E87" s="19" t="s">
        <v>763</v>
      </c>
      <c r="F87" s="15" t="s">
        <v>15</v>
      </c>
      <c r="G87" s="21">
        <v>25500.0</v>
      </c>
    </row>
    <row r="88" ht="13.5" customHeight="1">
      <c r="A88" s="51" t="s">
        <v>927</v>
      </c>
      <c r="B88" s="52" t="s">
        <v>928</v>
      </c>
      <c r="C88" s="17" t="str">
        <f>HYPERLINK("https://ra-matina.ru/?vendor_code=pa_219")</f>
        <v>https://ra-matina.ru/?vendor_code=pa_219</v>
      </c>
      <c r="D88" s="53" t="s">
        <v>21</v>
      </c>
      <c r="E88" s="19" t="s">
        <v>763</v>
      </c>
      <c r="F88" s="15" t="s">
        <v>15</v>
      </c>
      <c r="G88" s="54" t="s">
        <v>220</v>
      </c>
    </row>
    <row r="89" ht="13.5" customHeight="1">
      <c r="A89" s="51" t="s">
        <v>929</v>
      </c>
      <c r="B89" s="52" t="s">
        <v>930</v>
      </c>
      <c r="C89" s="17" t="str">
        <f>HYPERLINK("https://ra-matina.ru/?vendor_code=art_435")</f>
        <v>https://ra-matina.ru/?vendor_code=art_435</v>
      </c>
      <c r="D89" s="53" t="s">
        <v>21</v>
      </c>
      <c r="E89" s="19" t="s">
        <v>763</v>
      </c>
      <c r="F89" s="15" t="s">
        <v>15</v>
      </c>
      <c r="G89" s="54" t="s">
        <v>89</v>
      </c>
    </row>
    <row r="90" ht="13.5" customHeight="1">
      <c r="A90" s="15" t="s">
        <v>931</v>
      </c>
      <c r="B90" s="52" t="s">
        <v>932</v>
      </c>
      <c r="C90" s="17" t="str">
        <f>HYPERLINK("https://ra-matina.ru/?vendor_code=KrscroN015Б")</f>
        <v>https://ra-matina.ru/?vendor_code=KrscroN015Б</v>
      </c>
      <c r="D90" s="15" t="s">
        <v>21</v>
      </c>
      <c r="E90" s="19" t="s">
        <v>763</v>
      </c>
      <c r="F90" s="15" t="s">
        <v>40</v>
      </c>
      <c r="G90" s="21">
        <v>28000.0</v>
      </c>
    </row>
    <row r="91" ht="13.5" customHeight="1">
      <c r="A91" s="15" t="s">
        <v>933</v>
      </c>
      <c r="B91" s="52" t="s">
        <v>934</v>
      </c>
      <c r="C91" s="17" t="str">
        <f>HYPERLINK("https://ra-matina.ru/?vendor_code=KrscroN015А")</f>
        <v>https://ra-matina.ru/?vendor_code=KrscroN015А</v>
      </c>
      <c r="D91" s="15" t="s">
        <v>28</v>
      </c>
      <c r="E91" s="19" t="s">
        <v>763</v>
      </c>
      <c r="F91" s="15" t="s">
        <v>15</v>
      </c>
      <c r="G91" s="21">
        <v>28500.0</v>
      </c>
    </row>
    <row r="92" ht="13.5" customHeight="1">
      <c r="A92" s="15" t="s">
        <v>935</v>
      </c>
      <c r="B92" s="52" t="s">
        <v>936</v>
      </c>
      <c r="C92" s="17" t="str">
        <f>HYPERLINK("https://ra-matina.ru/?vendor_code=KrscroN016А")</f>
        <v>https://ra-matina.ru/?vendor_code=KrscroN016А</v>
      </c>
      <c r="D92" s="15" t="s">
        <v>28</v>
      </c>
      <c r="E92" s="19" t="s">
        <v>763</v>
      </c>
      <c r="F92" s="15" t="s">
        <v>40</v>
      </c>
      <c r="G92" s="21">
        <v>28500.0</v>
      </c>
    </row>
    <row r="93" ht="13.5" customHeight="1">
      <c r="A93" s="51" t="s">
        <v>937</v>
      </c>
      <c r="B93" s="52" t="s">
        <v>938</v>
      </c>
      <c r="C93" s="17" t="str">
        <f>HYPERLINK("https://ra-matina.ru/?vendor_code=pa_193")</f>
        <v>https://ra-matina.ru/?vendor_code=pa_193</v>
      </c>
      <c r="D93" s="53" t="s">
        <v>21</v>
      </c>
      <c r="E93" s="19" t="s">
        <v>763</v>
      </c>
      <c r="F93" s="15" t="s">
        <v>15</v>
      </c>
      <c r="G93" s="54" t="s">
        <v>939</v>
      </c>
    </row>
    <row r="94" ht="13.5" customHeight="1">
      <c r="A94" s="51" t="s">
        <v>940</v>
      </c>
      <c r="B94" s="52" t="s">
        <v>941</v>
      </c>
      <c r="C94" s="17" t="str">
        <f>HYPERLINK("https://ra-matina.ru/?vendor_code=pa_252")</f>
        <v>https://ra-matina.ru/?vendor_code=pa_252</v>
      </c>
      <c r="D94" s="53" t="s">
        <v>18</v>
      </c>
      <c r="E94" s="19" t="s">
        <v>752</v>
      </c>
      <c r="F94" s="15" t="s">
        <v>15</v>
      </c>
      <c r="G94" s="54" t="s">
        <v>771</v>
      </c>
    </row>
    <row r="95" ht="13.5" customHeight="1">
      <c r="A95" s="15" t="s">
        <v>942</v>
      </c>
      <c r="B95" s="52" t="s">
        <v>943</v>
      </c>
      <c r="C95" s="17" t="str">
        <f>HYPERLINK("https://ra-matina.ru/?vendor_code=KrscroN014А")</f>
        <v>https://ra-matina.ru/?vendor_code=KrscroN014А</v>
      </c>
      <c r="D95" s="15" t="s">
        <v>28</v>
      </c>
      <c r="E95" s="19" t="s">
        <v>763</v>
      </c>
      <c r="F95" s="15" t="s">
        <v>15</v>
      </c>
      <c r="G95" s="21">
        <v>23400.0</v>
      </c>
    </row>
    <row r="96" ht="13.5" customHeight="1">
      <c r="A96" s="51" t="s">
        <v>944</v>
      </c>
      <c r="B96" s="52" t="s">
        <v>945</v>
      </c>
      <c r="C96" s="17" t="str">
        <f>HYPERLINK("https://ra-matina.ru/?vendor_code=pa_448")</f>
        <v>https://ra-matina.ru/?vendor_code=pa_448</v>
      </c>
      <c r="D96" s="53" t="s">
        <v>21</v>
      </c>
      <c r="E96" s="19" t="s">
        <v>763</v>
      </c>
      <c r="F96" s="15" t="s">
        <v>15</v>
      </c>
      <c r="G96" s="54" t="s">
        <v>939</v>
      </c>
    </row>
    <row r="97" ht="13.5" customHeight="1">
      <c r="A97" s="55" t="s">
        <v>946</v>
      </c>
      <c r="B97" s="52" t="s">
        <v>947</v>
      </c>
      <c r="C97" s="17" t="str">
        <f>HYPERLINK("https://ra-matina.ru/?vendor_code=KRD029B1GGSC")</f>
        <v>https://ra-matina.ru/?vendor_code=KRD029B1GGSC</v>
      </c>
      <c r="D97" s="53" t="s">
        <v>18</v>
      </c>
      <c r="E97" s="19" t="s">
        <v>752</v>
      </c>
      <c r="F97" s="15" t="s">
        <v>15</v>
      </c>
      <c r="G97" s="54" t="s">
        <v>845</v>
      </c>
    </row>
    <row r="98" ht="13.5" customHeight="1">
      <c r="A98" s="15" t="s">
        <v>948</v>
      </c>
      <c r="B98" s="52" t="s">
        <v>949</v>
      </c>
      <c r="C98" s="17" t="str">
        <f>HYPERLINK("https://ra-matina.ru/?vendor_code=KrscroN014_1А")</f>
        <v>https://ra-matina.ru/?vendor_code=KrscroN014_1А</v>
      </c>
      <c r="D98" s="15" t="s">
        <v>18</v>
      </c>
      <c r="E98" s="19" t="s">
        <v>752</v>
      </c>
      <c r="F98" s="15" t="s">
        <v>15</v>
      </c>
      <c r="G98" s="21">
        <v>28000.0</v>
      </c>
    </row>
    <row r="99" ht="13.5" customHeight="1">
      <c r="A99" s="15" t="s">
        <v>950</v>
      </c>
      <c r="B99" s="52" t="s">
        <v>951</v>
      </c>
      <c r="C99" s="17" t="str">
        <f>HYPERLINK("https://ra-matina.ru/?vendor_code=KrscroN014_2А")</f>
        <v>https://ra-matina.ru/?vendor_code=KrscroN014_2А</v>
      </c>
      <c r="D99" s="15" t="s">
        <v>13</v>
      </c>
      <c r="E99" s="19" t="s">
        <v>752</v>
      </c>
      <c r="F99" s="15" t="s">
        <v>15</v>
      </c>
      <c r="G99" s="21">
        <v>28000.0</v>
      </c>
    </row>
    <row r="100" ht="13.5" customHeight="1">
      <c r="A100" s="55" t="s">
        <v>952</v>
      </c>
      <c r="B100" s="52" t="s">
        <v>953</v>
      </c>
      <c r="C100" s="17" t="str">
        <f>HYPERLINK("https://ra-matina.ru/?vendor_code=KRD029A4GGSC")</f>
        <v>https://ra-matina.ru/?vendor_code=KRD029A4GGSC</v>
      </c>
      <c r="D100" s="53" t="s">
        <v>21</v>
      </c>
      <c r="E100" s="19" t="s">
        <v>763</v>
      </c>
      <c r="F100" s="15" t="s">
        <v>15</v>
      </c>
      <c r="G100" s="54" t="s">
        <v>954</v>
      </c>
    </row>
    <row r="101" ht="13.5" customHeight="1">
      <c r="A101" s="55" t="s">
        <v>955</v>
      </c>
      <c r="B101" s="52" t="s">
        <v>953</v>
      </c>
      <c r="C101" s="17" t="str">
        <f>HYPERLINK("https://ra-matina.ru/?vendor_code=KRD031B1GGSC")</f>
        <v>https://ra-matina.ru/?vendor_code=KRD031B1GGSC</v>
      </c>
      <c r="D101" s="53" t="s">
        <v>898</v>
      </c>
      <c r="E101" s="19" t="s">
        <v>752</v>
      </c>
      <c r="F101" s="15" t="s">
        <v>15</v>
      </c>
      <c r="G101" s="54" t="s">
        <v>757</v>
      </c>
    </row>
    <row r="102" ht="13.5" customHeight="1">
      <c r="A102" s="55" t="s">
        <v>956</v>
      </c>
      <c r="B102" s="52" t="s">
        <v>957</v>
      </c>
      <c r="C102" s="17" t="str">
        <f>HYPERLINK("https://ra-matina.ru/?vendor_code=KRD031A3GGSC")</f>
        <v>https://ra-matina.ru/?vendor_code=KRD031A3GGSC</v>
      </c>
      <c r="D102" s="53" t="s">
        <v>21</v>
      </c>
      <c r="E102" s="19" t="s">
        <v>763</v>
      </c>
      <c r="F102" s="15" t="s">
        <v>15</v>
      </c>
      <c r="G102" s="54" t="s">
        <v>958</v>
      </c>
    </row>
    <row r="103" ht="13.5" customHeight="1">
      <c r="A103" s="55" t="s">
        <v>959</v>
      </c>
      <c r="B103" s="52" t="s">
        <v>957</v>
      </c>
      <c r="C103" s="17" t="str">
        <f>HYPERLINK("https://ra-matina.ru/?vendor_code=KRD028B1GGSC")</f>
        <v>https://ra-matina.ru/?vendor_code=KRD028B1GGSC</v>
      </c>
      <c r="D103" s="53" t="s">
        <v>18</v>
      </c>
      <c r="E103" s="19" t="s">
        <v>752</v>
      </c>
      <c r="F103" s="15" t="s">
        <v>15</v>
      </c>
      <c r="G103" s="54" t="s">
        <v>280</v>
      </c>
    </row>
    <row r="104" ht="13.5" customHeight="1">
      <c r="A104" s="55" t="s">
        <v>960</v>
      </c>
      <c r="B104" s="52" t="s">
        <v>961</v>
      </c>
      <c r="C104" s="17" t="str">
        <f>HYPERLINK("https://ra-matina.ru/?vendor_code=KRD039B1GGSC")</f>
        <v>https://ra-matina.ru/?vendor_code=KRD039B1GGSC</v>
      </c>
      <c r="D104" s="53" t="s">
        <v>21</v>
      </c>
      <c r="E104" s="19" t="s">
        <v>763</v>
      </c>
      <c r="F104" s="15" t="s">
        <v>15</v>
      </c>
      <c r="G104" s="54" t="s">
        <v>757</v>
      </c>
    </row>
    <row r="105" ht="13.5" customHeight="1">
      <c r="A105" s="53" t="s">
        <v>962</v>
      </c>
      <c r="B105" s="52" t="s">
        <v>963</v>
      </c>
      <c r="C105" s="17" t="str">
        <f>HYPERLINK("https://ra-matina.ru/?vendor_code=art_233")</f>
        <v>https://ra-matina.ru/?vendor_code=art_233</v>
      </c>
      <c r="D105" s="53" t="s">
        <v>760</v>
      </c>
      <c r="E105" s="19" t="s">
        <v>752</v>
      </c>
      <c r="F105" s="15" t="s">
        <v>15</v>
      </c>
      <c r="G105" s="54" t="s">
        <v>110</v>
      </c>
    </row>
    <row r="106" ht="13.5" customHeight="1">
      <c r="A106" s="51" t="s">
        <v>964</v>
      </c>
      <c r="B106" s="52" t="s">
        <v>965</v>
      </c>
      <c r="C106" s="17" t="str">
        <f>HYPERLINK("https://ra-matina.ru/?vendor_code=art_234")</f>
        <v>https://ra-matina.ru/?vendor_code=art_234</v>
      </c>
      <c r="D106" s="53" t="s">
        <v>21</v>
      </c>
      <c r="E106" s="19" t="s">
        <v>763</v>
      </c>
      <c r="F106" s="15" t="s">
        <v>15</v>
      </c>
      <c r="G106" s="54" t="s">
        <v>833</v>
      </c>
    </row>
    <row r="107" ht="13.5" customHeight="1">
      <c r="A107" s="51" t="s">
        <v>966</v>
      </c>
      <c r="B107" s="52" t="s">
        <v>967</v>
      </c>
      <c r="C107" s="17" t="str">
        <f>HYPERLINK("https://ra-matina.ru/?vendor_code=KDR-PR-ART344")</f>
        <v>https://ra-matina.ru/?vendor_code=KDR-PR-ART344</v>
      </c>
      <c r="D107" s="53" t="s">
        <v>28</v>
      </c>
      <c r="E107" s="19" t="s">
        <v>763</v>
      </c>
      <c r="F107" s="15" t="s">
        <v>15</v>
      </c>
      <c r="G107" s="54" t="s">
        <v>776</v>
      </c>
    </row>
    <row r="108" ht="13.5" customHeight="1">
      <c r="A108" s="15" t="s">
        <v>968</v>
      </c>
      <c r="B108" s="52" t="s">
        <v>969</v>
      </c>
      <c r="C108" s="17" t="str">
        <f>HYPERLINK("https://ra-matina.ru/?vendor_code=KrscroN014А0")</f>
        <v>https://ra-matina.ru/?vendor_code=KrscroN014А0</v>
      </c>
      <c r="D108" s="15" t="s">
        <v>28</v>
      </c>
      <c r="E108" s="19" t="s">
        <v>763</v>
      </c>
      <c r="F108" s="15" t="s">
        <v>15</v>
      </c>
      <c r="G108" s="21">
        <v>28000.0</v>
      </c>
    </row>
    <row r="109" ht="13.5" customHeight="1">
      <c r="A109" s="51" t="s">
        <v>970</v>
      </c>
      <c r="B109" s="52" t="s">
        <v>971</v>
      </c>
      <c r="C109" s="17" t="str">
        <f>HYPERLINK("https://ra-matina.ru/?vendor_code=pa_142")</f>
        <v>https://ra-matina.ru/?vendor_code=pa_142</v>
      </c>
      <c r="D109" s="53" t="s">
        <v>898</v>
      </c>
      <c r="E109" s="19" t="s">
        <v>752</v>
      </c>
      <c r="F109" s="15" t="s">
        <v>15</v>
      </c>
      <c r="G109" s="54" t="s">
        <v>93</v>
      </c>
    </row>
    <row r="110" ht="13.5" customHeight="1">
      <c r="A110" s="51" t="s">
        <v>972</v>
      </c>
      <c r="B110" s="52" t="s">
        <v>973</v>
      </c>
      <c r="C110" s="17" t="str">
        <f>HYPERLINK("https://ra-matina.ru/?vendor_code=pa_143")</f>
        <v>https://ra-matina.ru/?vendor_code=pa_143</v>
      </c>
      <c r="D110" s="53" t="s">
        <v>21</v>
      </c>
      <c r="E110" s="19" t="s">
        <v>763</v>
      </c>
      <c r="F110" s="15" t="s">
        <v>15</v>
      </c>
      <c r="G110" s="56" t="s">
        <v>220</v>
      </c>
    </row>
    <row r="111" ht="13.5" customHeight="1">
      <c r="A111" s="15" t="s">
        <v>974</v>
      </c>
      <c r="B111" s="52" t="s">
        <v>975</v>
      </c>
      <c r="C111" s="17" t="str">
        <f>HYPERLINK("https://ra-matina.ru/?vendor_code=KrscroN014Б")</f>
        <v>https://ra-matina.ru/?vendor_code=KrscroN014Б</v>
      </c>
      <c r="D111" s="15" t="s">
        <v>21</v>
      </c>
      <c r="E111" s="19" t="s">
        <v>763</v>
      </c>
      <c r="F111" s="15" t="s">
        <v>15</v>
      </c>
      <c r="G111" s="21">
        <v>27500.0</v>
      </c>
    </row>
    <row r="112" ht="13.5" customHeight="1">
      <c r="A112" s="51" t="s">
        <v>976</v>
      </c>
      <c r="B112" s="52" t="s">
        <v>977</v>
      </c>
      <c r="C112" s="17" t="str">
        <f>HYPERLINK("https://ra-matina.ru/?vendor_code=UM_164")</f>
        <v>https://ra-matina.ru/?vendor_code=UM_164</v>
      </c>
      <c r="D112" s="53" t="s">
        <v>43</v>
      </c>
      <c r="E112" s="19" t="s">
        <v>752</v>
      </c>
      <c r="F112" s="15" t="s">
        <v>15</v>
      </c>
      <c r="G112" s="54" t="s">
        <v>771</v>
      </c>
    </row>
    <row r="113" ht="13.5" customHeight="1">
      <c r="A113" s="51" t="s">
        <v>978</v>
      </c>
      <c r="B113" s="52" t="s">
        <v>979</v>
      </c>
      <c r="C113" s="17" t="str">
        <f>HYPERLINK("https://ra-matina.ru/?vendor_code=pa_227")</f>
        <v>https://ra-matina.ru/?vendor_code=pa_227</v>
      </c>
      <c r="D113" s="53" t="s">
        <v>43</v>
      </c>
      <c r="E113" s="19" t="s">
        <v>752</v>
      </c>
      <c r="F113" s="15" t="s">
        <v>15</v>
      </c>
      <c r="G113" s="54" t="s">
        <v>980</v>
      </c>
    </row>
    <row r="114" ht="13.5" customHeight="1">
      <c r="A114" s="53" t="s">
        <v>981</v>
      </c>
      <c r="B114" s="52" t="s">
        <v>982</v>
      </c>
      <c r="C114" s="17" t="str">
        <f>HYPERLINK("https://ra-matina.ru/?vendor_code=UM_038")</f>
        <v>https://ra-matina.ru/?vendor_code=UM_038</v>
      </c>
      <c r="D114" s="53" t="s">
        <v>898</v>
      </c>
      <c r="E114" s="19" t="s">
        <v>752</v>
      </c>
      <c r="F114" s="15" t="s">
        <v>15</v>
      </c>
      <c r="G114" s="54" t="s">
        <v>89</v>
      </c>
    </row>
    <row r="115" ht="13.5" customHeight="1">
      <c r="A115" s="53" t="s">
        <v>983</v>
      </c>
      <c r="B115" s="52" t="s">
        <v>984</v>
      </c>
      <c r="C115" s="17" t="str">
        <f>HYPERLINK("https://ra-matina.ru/?vendor_code=art_230")</f>
        <v>https://ra-matina.ru/?vendor_code=art_230</v>
      </c>
      <c r="D115" s="53" t="s">
        <v>760</v>
      </c>
      <c r="E115" s="19" t="s">
        <v>752</v>
      </c>
      <c r="F115" s="15" t="s">
        <v>15</v>
      </c>
      <c r="G115" s="54" t="s">
        <v>110</v>
      </c>
    </row>
    <row r="116" ht="13.5" customHeight="1">
      <c r="A116" s="53" t="s">
        <v>985</v>
      </c>
      <c r="B116" s="52" t="s">
        <v>986</v>
      </c>
      <c r="C116" s="17" t="str">
        <f>HYPERLINK("https://ra-matina.ru/?vendor_code=art_656")</f>
        <v>https://ra-matina.ru/?vendor_code=art_656</v>
      </c>
      <c r="D116" s="53" t="s">
        <v>13</v>
      </c>
      <c r="E116" s="19" t="s">
        <v>752</v>
      </c>
      <c r="F116" s="15" t="s">
        <v>15</v>
      </c>
      <c r="G116" s="54" t="s">
        <v>176</v>
      </c>
    </row>
    <row r="117" ht="13.5" customHeight="1">
      <c r="A117" s="51" t="s">
        <v>987</v>
      </c>
      <c r="B117" s="52" t="s">
        <v>988</v>
      </c>
      <c r="C117" s="17" t="str">
        <f>HYPERLINK("https://ra-matina.ru/?vendor_code=art_283")</f>
        <v>https://ra-matina.ru/?vendor_code=art_283</v>
      </c>
      <c r="D117" s="53" t="s">
        <v>13</v>
      </c>
      <c r="E117" s="19" t="s">
        <v>752</v>
      </c>
      <c r="F117" s="15" t="s">
        <v>15</v>
      </c>
      <c r="G117" s="54" t="s">
        <v>110</v>
      </c>
    </row>
    <row r="118" ht="13.5" customHeight="1">
      <c r="A118" s="51" t="s">
        <v>989</v>
      </c>
      <c r="B118" s="52" t="s">
        <v>990</v>
      </c>
      <c r="C118" s="17" t="str">
        <f>HYPERLINK("https://ra-matina.ru/?vendor_code=art_284")</f>
        <v>https://ra-matina.ru/?vendor_code=art_284</v>
      </c>
      <c r="D118" s="53" t="s">
        <v>21</v>
      </c>
      <c r="E118" s="19" t="s">
        <v>763</v>
      </c>
      <c r="F118" s="15" t="s">
        <v>15</v>
      </c>
      <c r="G118" s="54" t="s">
        <v>991</v>
      </c>
    </row>
    <row r="119" ht="13.5" customHeight="1">
      <c r="A119" s="51" t="s">
        <v>992</v>
      </c>
      <c r="B119" s="52" t="s">
        <v>993</v>
      </c>
      <c r="C119" s="17" t="str">
        <f>HYPERLINK("https://ra-matina.ru/?vendor_code=pa_059")</f>
        <v>https://ra-matina.ru/?vendor_code=pa_059</v>
      </c>
      <c r="D119" s="53" t="s">
        <v>18</v>
      </c>
      <c r="E119" s="19" t="s">
        <v>752</v>
      </c>
      <c r="F119" s="15" t="s">
        <v>15</v>
      </c>
      <c r="G119" s="54" t="s">
        <v>110</v>
      </c>
    </row>
    <row r="120" ht="13.5" customHeight="1">
      <c r="A120" s="53" t="s">
        <v>994</v>
      </c>
      <c r="B120" s="52" t="s">
        <v>995</v>
      </c>
      <c r="C120" s="17" t="str">
        <f>HYPERLINK("https://ra-matina.ru/?vendor_code=UM_061")</f>
        <v>https://ra-matina.ru/?vendor_code=UM_061</v>
      </c>
      <c r="D120" s="53" t="s">
        <v>18</v>
      </c>
      <c r="E120" s="19" t="s">
        <v>752</v>
      </c>
      <c r="F120" s="15" t="s">
        <v>15</v>
      </c>
      <c r="G120" s="54" t="s">
        <v>980</v>
      </c>
    </row>
    <row r="121" ht="13.5" customHeight="1">
      <c r="A121" s="15" t="s">
        <v>996</v>
      </c>
      <c r="B121" s="52" t="s">
        <v>997</v>
      </c>
      <c r="C121" s="17" t="str">
        <f>HYPERLINK("https://ra-matina.ru/?vendor_code=KrscroN019А")</f>
        <v>https://ra-matina.ru/?vendor_code=KrscroN019А</v>
      </c>
      <c r="D121" s="15" t="s">
        <v>28</v>
      </c>
      <c r="E121" s="19" t="s">
        <v>763</v>
      </c>
      <c r="F121" s="15" t="s">
        <v>15</v>
      </c>
      <c r="G121" s="21">
        <v>25700.0</v>
      </c>
    </row>
    <row r="122" ht="13.5" customHeight="1">
      <c r="A122" s="51" t="s">
        <v>998</v>
      </c>
      <c r="B122" s="52" t="s">
        <v>997</v>
      </c>
      <c r="C122" s="17" t="str">
        <f>HYPERLINK("https://ra-matina.ru/?vendor_code=UM_060")</f>
        <v>https://ra-matina.ru/?vendor_code=UM_060</v>
      </c>
      <c r="D122" s="53" t="s">
        <v>21</v>
      </c>
      <c r="E122" s="19" t="s">
        <v>763</v>
      </c>
      <c r="F122" s="15" t="s">
        <v>15</v>
      </c>
      <c r="G122" s="54" t="s">
        <v>939</v>
      </c>
    </row>
    <row r="123" ht="13.5" customHeight="1">
      <c r="A123" s="51" t="s">
        <v>999</v>
      </c>
      <c r="B123" s="52" t="s">
        <v>1000</v>
      </c>
      <c r="C123" s="17" t="str">
        <f>HYPERLINK("https://ra-matina.ru/?vendor_code=UM_042")</f>
        <v>https://ra-matina.ru/?vendor_code=UM_042</v>
      </c>
      <c r="D123" s="53" t="s">
        <v>760</v>
      </c>
      <c r="E123" s="19" t="s">
        <v>752</v>
      </c>
      <c r="F123" s="15" t="s">
        <v>15</v>
      </c>
      <c r="G123" s="54" t="s">
        <v>771</v>
      </c>
    </row>
    <row r="124" ht="13.5" customHeight="1">
      <c r="A124" s="51" t="s">
        <v>1001</v>
      </c>
      <c r="B124" s="52" t="s">
        <v>1002</v>
      </c>
      <c r="C124" s="17" t="str">
        <f>HYPERLINK("https://ra-matina.ru/?vendor_code=UM_043")</f>
        <v>https://ra-matina.ru/?vendor_code=UM_043</v>
      </c>
      <c r="D124" s="53" t="s">
        <v>21</v>
      </c>
      <c r="E124" s="19" t="s">
        <v>763</v>
      </c>
      <c r="F124" s="15" t="s">
        <v>15</v>
      </c>
      <c r="G124" s="54" t="s">
        <v>939</v>
      </c>
    </row>
    <row r="125" ht="13.5" customHeight="1">
      <c r="A125" s="15" t="s">
        <v>1003</v>
      </c>
      <c r="B125" s="52" t="s">
        <v>1004</v>
      </c>
      <c r="C125" s="17" t="str">
        <f>HYPERLINK("https://ra-matina.ru/?vendor_code=KrscroN019А3")</f>
        <v>https://ra-matina.ru/?vendor_code=KrscroN019А3</v>
      </c>
      <c r="D125" s="15" t="s">
        <v>28</v>
      </c>
      <c r="E125" s="19" t="s">
        <v>763</v>
      </c>
      <c r="F125" s="15" t="s">
        <v>15</v>
      </c>
      <c r="G125" s="21">
        <v>25700.0</v>
      </c>
    </row>
    <row r="126" ht="13.5" customHeight="1">
      <c r="A126" s="51" t="s">
        <v>1005</v>
      </c>
      <c r="B126" s="52" t="s">
        <v>1006</v>
      </c>
      <c r="C126" s="17" t="str">
        <f>HYPERLINK("https://ra-matina.ru/?vendor_code=UM_041")</f>
        <v>https://ra-matina.ru/?vendor_code=UM_041</v>
      </c>
      <c r="D126" s="53" t="s">
        <v>21</v>
      </c>
      <c r="E126" s="19" t="s">
        <v>763</v>
      </c>
      <c r="F126" s="15" t="s">
        <v>15</v>
      </c>
      <c r="G126" s="54" t="s">
        <v>939</v>
      </c>
    </row>
    <row r="127" ht="13.5" customHeight="1">
      <c r="A127" s="55" t="s">
        <v>1007</v>
      </c>
      <c r="B127" s="52" t="s">
        <v>1008</v>
      </c>
      <c r="C127" s="17" t="str">
        <f>HYPERLINK("https://ra-matina.ru/?vendor_code=KRD039A1GGSC")</f>
        <v>https://ra-matina.ru/?vendor_code=KRD039A1GGSC</v>
      </c>
      <c r="D127" s="53" t="s">
        <v>21</v>
      </c>
      <c r="E127" s="19" t="s">
        <v>763</v>
      </c>
      <c r="F127" s="15" t="s">
        <v>15</v>
      </c>
      <c r="G127" s="54" t="s">
        <v>757</v>
      </c>
    </row>
    <row r="128" ht="13.5" customHeight="1">
      <c r="A128" s="55" t="s">
        <v>1009</v>
      </c>
      <c r="B128" s="52" t="s">
        <v>1008</v>
      </c>
      <c r="C128" s="17" t="str">
        <f>HYPERLINK("https://ra-matina.ru/?vendor_code=KRD038B4GGSC")</f>
        <v>https://ra-matina.ru/?vendor_code=KRD038B4GGSC</v>
      </c>
      <c r="D128" s="53" t="s">
        <v>43</v>
      </c>
      <c r="E128" s="19" t="s">
        <v>752</v>
      </c>
      <c r="F128" s="15" t="s">
        <v>15</v>
      </c>
      <c r="G128" s="54" t="s">
        <v>56</v>
      </c>
    </row>
    <row r="129" ht="13.5" customHeight="1">
      <c r="A129" s="55" t="s">
        <v>1010</v>
      </c>
      <c r="B129" s="52" t="s">
        <v>1011</v>
      </c>
      <c r="C129" s="17" t="str">
        <f>HYPERLINK("https://ra-matina.ru/?vendor_code=KRD045A4GGSC")</f>
        <v>https://ra-matina.ru/?vendor_code=KRD045A4GGSC</v>
      </c>
      <c r="D129" s="53" t="s">
        <v>756</v>
      </c>
      <c r="E129" s="19" t="s">
        <v>752</v>
      </c>
      <c r="F129" s="15" t="s">
        <v>15</v>
      </c>
      <c r="G129" s="54" t="s">
        <v>958</v>
      </c>
    </row>
    <row r="130" ht="13.5" customHeight="1">
      <c r="A130" s="55" t="s">
        <v>1012</v>
      </c>
      <c r="B130" s="52" t="s">
        <v>1013</v>
      </c>
      <c r="C130" s="17" t="str">
        <f>HYPERLINK("https://ra-matina.ru/?vendor_code=KRD046A5GGSC")</f>
        <v>https://ra-matina.ru/?vendor_code=KRD046A5GGSC</v>
      </c>
      <c r="D130" s="53" t="s">
        <v>898</v>
      </c>
      <c r="E130" s="19" t="s">
        <v>752</v>
      </c>
      <c r="F130" s="15" t="s">
        <v>15</v>
      </c>
      <c r="G130" s="54" t="s">
        <v>280</v>
      </c>
    </row>
    <row r="131" ht="13.5" customHeight="1">
      <c r="A131" s="55" t="s">
        <v>1014</v>
      </c>
      <c r="B131" s="52" t="s">
        <v>1015</v>
      </c>
      <c r="C131" s="17" t="str">
        <f>HYPERLINK("https://ra-matina.ru/?vendor_code=KRD043A4GGSC")</f>
        <v>https://ra-matina.ru/?vendor_code=KRD043A4GGSC</v>
      </c>
      <c r="D131" s="53" t="s">
        <v>760</v>
      </c>
      <c r="E131" s="19" t="s">
        <v>752</v>
      </c>
      <c r="F131" s="15" t="s">
        <v>15</v>
      </c>
      <c r="G131" s="54" t="s">
        <v>280</v>
      </c>
    </row>
    <row r="132" ht="13.5" customHeight="1">
      <c r="A132" s="55" t="s">
        <v>1016</v>
      </c>
      <c r="B132" s="52" t="s">
        <v>1017</v>
      </c>
      <c r="C132" s="17" t="str">
        <f>HYPERLINK("https://ra-matina.ru/?vendor_code=KRD056B1GGSC")</f>
        <v>https://ra-matina.ru/?vendor_code=KRD056B1GGSC</v>
      </c>
      <c r="D132" s="53" t="s">
        <v>898</v>
      </c>
      <c r="E132" s="19" t="s">
        <v>752</v>
      </c>
      <c r="F132" s="15" t="s">
        <v>15</v>
      </c>
      <c r="G132" s="54" t="s">
        <v>280</v>
      </c>
    </row>
    <row r="133" ht="13.5" customHeight="1">
      <c r="A133" s="53" t="s">
        <v>1018</v>
      </c>
      <c r="B133" s="52" t="s">
        <v>1019</v>
      </c>
      <c r="C133" s="17" t="str">
        <f>HYPERLINK("https://ra-matina.ru/?vendor_code=art_687")</f>
        <v>https://ra-matina.ru/?vendor_code=art_687</v>
      </c>
      <c r="D133" s="53" t="s">
        <v>770</v>
      </c>
      <c r="E133" s="19" t="s">
        <v>752</v>
      </c>
      <c r="F133" s="15" t="s">
        <v>15</v>
      </c>
      <c r="G133" s="54" t="s">
        <v>110</v>
      </c>
    </row>
    <row r="134" ht="13.5" customHeight="1">
      <c r="A134" s="53" t="s">
        <v>1020</v>
      </c>
      <c r="B134" s="52" t="s">
        <v>1021</v>
      </c>
      <c r="C134" s="17" t="str">
        <f>HYPERLINK("https://ra-matina.ru/?vendor_code=art_686")</f>
        <v>https://ra-matina.ru/?vendor_code=art_686</v>
      </c>
      <c r="D134" s="53" t="s">
        <v>898</v>
      </c>
      <c r="E134" s="19" t="s">
        <v>752</v>
      </c>
      <c r="F134" s="15" t="s">
        <v>15</v>
      </c>
      <c r="G134" s="54" t="s">
        <v>854</v>
      </c>
    </row>
    <row r="135" ht="13.5" customHeight="1">
      <c r="A135" s="51" t="s">
        <v>1022</v>
      </c>
      <c r="B135" s="52" t="s">
        <v>1023</v>
      </c>
      <c r="C135" s="17" t="str">
        <f>HYPERLINK("https://ra-matina.ru/?vendor_code=UM_037")</f>
        <v>https://ra-matina.ru/?vendor_code=UM_037</v>
      </c>
      <c r="D135" s="53" t="s">
        <v>21</v>
      </c>
      <c r="E135" s="19" t="s">
        <v>763</v>
      </c>
      <c r="F135" s="15" t="s">
        <v>15</v>
      </c>
      <c r="G135" s="54" t="s">
        <v>980</v>
      </c>
    </row>
    <row r="136" ht="13.5" customHeight="1">
      <c r="A136" s="15" t="s">
        <v>1024</v>
      </c>
      <c r="B136" s="52" t="s">
        <v>1025</v>
      </c>
      <c r="C136" s="17" t="str">
        <f>HYPERLINK("https://ra-matina.ru/?vendor_code=KrscroN019А0")</f>
        <v>https://ra-matina.ru/?vendor_code=KrscroN019А0</v>
      </c>
      <c r="D136" s="15" t="s">
        <v>28</v>
      </c>
      <c r="E136" s="19" t="s">
        <v>763</v>
      </c>
      <c r="F136" s="15" t="s">
        <v>15</v>
      </c>
      <c r="G136" s="21">
        <v>25700.0</v>
      </c>
    </row>
    <row r="137" ht="13.5" customHeight="1">
      <c r="A137" s="53" t="s">
        <v>1026</v>
      </c>
      <c r="B137" s="52" t="s">
        <v>1027</v>
      </c>
      <c r="C137" s="17" t="str">
        <f>HYPERLINK("https://ra-matina.ru/?vendor_code=art_516")</f>
        <v>https://ra-matina.ru/?vendor_code=art_516</v>
      </c>
      <c r="D137" s="53" t="s">
        <v>18</v>
      </c>
      <c r="E137" s="19" t="s">
        <v>752</v>
      </c>
      <c r="F137" s="15" t="s">
        <v>15</v>
      </c>
      <c r="G137" s="54" t="s">
        <v>771</v>
      </c>
    </row>
    <row r="138" ht="13.5" customHeight="1">
      <c r="A138" s="53" t="s">
        <v>1028</v>
      </c>
      <c r="B138" s="52" t="s">
        <v>1029</v>
      </c>
      <c r="C138" s="17" t="str">
        <f>HYPERLINK("https://ra-matina.ru/?vendor_code=UM_261")</f>
        <v>https://ra-matina.ru/?vendor_code=UM_261</v>
      </c>
      <c r="D138" s="53" t="s">
        <v>43</v>
      </c>
      <c r="E138" s="19" t="s">
        <v>752</v>
      </c>
      <c r="F138" s="15" t="s">
        <v>15</v>
      </c>
      <c r="G138" s="54" t="s">
        <v>347</v>
      </c>
    </row>
    <row r="139" ht="13.5" customHeight="1">
      <c r="A139" s="51" t="s">
        <v>1030</v>
      </c>
      <c r="B139" s="52" t="s">
        <v>1031</v>
      </c>
      <c r="C139" s="17" t="str">
        <f>HYPERLINK("https://ra-matina.ru/?vendor_code=art_255")</f>
        <v>https://ra-matina.ru/?vendor_code=art_255</v>
      </c>
      <c r="D139" s="53" t="s">
        <v>21</v>
      </c>
      <c r="E139" s="19" t="s">
        <v>763</v>
      </c>
      <c r="F139" s="15" t="s">
        <v>15</v>
      </c>
      <c r="G139" s="54" t="s">
        <v>939</v>
      </c>
    </row>
    <row r="140" ht="13.5" customHeight="1">
      <c r="A140" s="15" t="s">
        <v>1032</v>
      </c>
      <c r="B140" s="52" t="s">
        <v>1033</v>
      </c>
      <c r="C140" s="17" t="str">
        <f>HYPERLINK("https://ra-matina.ru/?vendor_code=KrscroN019А_2")</f>
        <v>https://ra-matina.ru/?vendor_code=KrscroN019А_2</v>
      </c>
      <c r="D140" s="15" t="s">
        <v>13</v>
      </c>
      <c r="E140" s="19" t="s">
        <v>752</v>
      </c>
      <c r="F140" s="15" t="s">
        <v>15</v>
      </c>
      <c r="G140" s="21">
        <v>34000.0</v>
      </c>
    </row>
    <row r="141" ht="13.5" customHeight="1">
      <c r="A141" s="53" t="s">
        <v>1034</v>
      </c>
      <c r="B141" s="52" t="s">
        <v>1035</v>
      </c>
      <c r="C141" s="17" t="str">
        <f>HYPERLINK("https://ra-matina.ru/?vendor_code=art_683")</f>
        <v>https://ra-matina.ru/?vendor_code=art_683</v>
      </c>
      <c r="D141" s="53" t="s">
        <v>898</v>
      </c>
      <c r="E141" s="19" t="s">
        <v>752</v>
      </c>
      <c r="F141" s="15" t="s">
        <v>15</v>
      </c>
      <c r="G141" s="54" t="s">
        <v>32</v>
      </c>
    </row>
    <row r="142" ht="13.5" customHeight="1">
      <c r="A142" s="51" t="s">
        <v>1036</v>
      </c>
      <c r="B142" s="52" t="s">
        <v>1037</v>
      </c>
      <c r="C142" s="17" t="str">
        <f>HYPERLINK("https://ra-matina.ru/?vendor_code=art_691")</f>
        <v>https://ra-matina.ru/?vendor_code=art_691</v>
      </c>
      <c r="D142" s="53" t="s">
        <v>28</v>
      </c>
      <c r="E142" s="19" t="s">
        <v>763</v>
      </c>
      <c r="F142" s="15" t="s">
        <v>15</v>
      </c>
      <c r="G142" s="54" t="s">
        <v>141</v>
      </c>
    </row>
    <row r="143" ht="13.5" customHeight="1">
      <c r="A143" s="53" t="s">
        <v>1038</v>
      </c>
      <c r="B143" s="52" t="s">
        <v>1039</v>
      </c>
      <c r="C143" s="17" t="str">
        <f>HYPERLINK("https://ra-matina.ru/?vendor_code=art_682")</f>
        <v>https://ra-matina.ru/?vendor_code=art_682</v>
      </c>
      <c r="D143" s="53" t="s">
        <v>43</v>
      </c>
      <c r="E143" s="19" t="s">
        <v>752</v>
      </c>
      <c r="F143" s="15" t="s">
        <v>15</v>
      </c>
      <c r="G143" s="54" t="s">
        <v>1040</v>
      </c>
    </row>
    <row r="144" ht="13.5" customHeight="1">
      <c r="A144" s="53" t="s">
        <v>1041</v>
      </c>
      <c r="B144" s="52" t="s">
        <v>1042</v>
      </c>
      <c r="C144" s="17" t="str">
        <f>HYPERLINK("https://ra-matina.ru/?vendor_code=art_690")</f>
        <v>https://ra-matina.ru/?vendor_code=art_690</v>
      </c>
      <c r="D144" s="53" t="s">
        <v>18</v>
      </c>
      <c r="E144" s="19" t="s">
        <v>752</v>
      </c>
      <c r="F144" s="15" t="s">
        <v>15</v>
      </c>
      <c r="G144" s="54" t="s">
        <v>347</v>
      </c>
    </row>
    <row r="145" ht="13.5" customHeight="1">
      <c r="A145" s="53" t="s">
        <v>1043</v>
      </c>
      <c r="B145" s="52" t="s">
        <v>1044</v>
      </c>
      <c r="C145" s="17" t="str">
        <f>HYPERLINK("https://ra-matina.ru/?vendor_code=art_699")</f>
        <v>https://ra-matina.ru/?vendor_code=art_699</v>
      </c>
      <c r="D145" s="53" t="s">
        <v>13</v>
      </c>
      <c r="E145" s="19" t="s">
        <v>752</v>
      </c>
      <c r="F145" s="15" t="s">
        <v>15</v>
      </c>
      <c r="G145" s="54" t="s">
        <v>220</v>
      </c>
    </row>
    <row r="146" ht="13.5" customHeight="1">
      <c r="A146" s="51" t="s">
        <v>1045</v>
      </c>
      <c r="B146" s="52" t="s">
        <v>1046</v>
      </c>
      <c r="C146" s="17" t="str">
        <f>HYPERLINK("https://ra-matina.ru/?vendor_code=art_700")</f>
        <v>https://ra-matina.ru/?vendor_code=art_700</v>
      </c>
      <c r="D146" s="53" t="s">
        <v>28</v>
      </c>
      <c r="E146" s="19" t="s">
        <v>763</v>
      </c>
      <c r="F146" s="15" t="s">
        <v>15</v>
      </c>
      <c r="G146" s="54" t="s">
        <v>141</v>
      </c>
    </row>
    <row r="147" ht="13.5" customHeight="1">
      <c r="A147" s="55" t="s">
        <v>1047</v>
      </c>
      <c r="B147" s="52" t="s">
        <v>1048</v>
      </c>
      <c r="C147" s="17" t="str">
        <f>HYPERLINK("https://ra-matina.ru/?vendor_code=KRD054A1GGSC")</f>
        <v>https://ra-matina.ru/?vendor_code=KRD054A1GGSC</v>
      </c>
      <c r="D147" s="53" t="s">
        <v>21</v>
      </c>
      <c r="E147" s="19" t="s">
        <v>763</v>
      </c>
      <c r="F147" s="15" t="s">
        <v>15</v>
      </c>
      <c r="G147" s="54" t="s">
        <v>757</v>
      </c>
    </row>
    <row r="148" ht="13.5" customHeight="1">
      <c r="A148" s="15" t="s">
        <v>1049</v>
      </c>
      <c r="B148" s="52" t="s">
        <v>1050</v>
      </c>
      <c r="C148" s="17" t="str">
        <f>HYPERLINK("https://ra-matina.ru/?vendor_code=KrscroN019_2А")</f>
        <v>https://ra-matina.ru/?vendor_code=KrscroN019_2А</v>
      </c>
      <c r="D148" s="15" t="s">
        <v>13</v>
      </c>
      <c r="E148" s="19" t="s">
        <v>752</v>
      </c>
      <c r="F148" s="15" t="s">
        <v>15</v>
      </c>
      <c r="G148" s="21">
        <v>25000.0</v>
      </c>
    </row>
    <row r="149" ht="13.5" customHeight="1">
      <c r="A149" s="15" t="s">
        <v>1051</v>
      </c>
      <c r="B149" s="52" t="s">
        <v>1052</v>
      </c>
      <c r="C149" s="17" t="str">
        <f>HYPERLINK("https://ra-matina.ru/?vendor_code=KrscroN019А_1")</f>
        <v>https://ra-matina.ru/?vendor_code=KrscroN019А_1</v>
      </c>
      <c r="D149" s="15" t="s">
        <v>43</v>
      </c>
      <c r="E149" s="19" t="s">
        <v>752</v>
      </c>
      <c r="F149" s="15" t="s">
        <v>15</v>
      </c>
      <c r="G149" s="21">
        <v>32000.0</v>
      </c>
    </row>
    <row r="150" ht="13.5" customHeight="1">
      <c r="A150" s="55" t="s">
        <v>1053</v>
      </c>
      <c r="B150" s="52" t="s">
        <v>1054</v>
      </c>
      <c r="C150" s="17" t="str">
        <f>HYPERLINK("https://ra-matina.ru/?vendor_code=KRD057B1GGSC")</f>
        <v>https://ra-matina.ru/?vendor_code=KRD057B1GGSC</v>
      </c>
      <c r="D150" s="53" t="s">
        <v>28</v>
      </c>
      <c r="E150" s="19" t="s">
        <v>763</v>
      </c>
      <c r="F150" s="15" t="s">
        <v>15</v>
      </c>
      <c r="G150" s="54" t="s">
        <v>845</v>
      </c>
    </row>
    <row r="151" ht="13.5" customHeight="1">
      <c r="A151" s="55" t="s">
        <v>1055</v>
      </c>
      <c r="B151" s="52" t="s">
        <v>1056</v>
      </c>
      <c r="C151" s="17" t="str">
        <f>HYPERLINK("https://ra-matina.ru/?vendor_code=KRD055A4GGSC")</f>
        <v>https://ra-matina.ru/?vendor_code=KRD055A4GGSC</v>
      </c>
      <c r="D151" s="53" t="s">
        <v>21</v>
      </c>
      <c r="E151" s="19" t="s">
        <v>763</v>
      </c>
      <c r="F151" s="15" t="s">
        <v>15</v>
      </c>
      <c r="G151" s="54" t="s">
        <v>757</v>
      </c>
    </row>
    <row r="152" ht="13.5" customHeight="1">
      <c r="A152" s="55" t="s">
        <v>1057</v>
      </c>
      <c r="B152" s="52" t="s">
        <v>1058</v>
      </c>
      <c r="C152" s="17" t="str">
        <f>HYPERLINK("https://ra-matina.ru/?vendor_code=KRD059A3GGSC")</f>
        <v>https://ra-matina.ru/?vendor_code=KRD059A3GGSC</v>
      </c>
      <c r="D152" s="53" t="s">
        <v>898</v>
      </c>
      <c r="E152" s="19" t="s">
        <v>752</v>
      </c>
      <c r="F152" s="15" t="s">
        <v>15</v>
      </c>
      <c r="G152" s="54" t="s">
        <v>56</v>
      </c>
    </row>
    <row r="153" ht="13.5" customHeight="1">
      <c r="A153" s="51" t="s">
        <v>1059</v>
      </c>
      <c r="B153" s="52" t="s">
        <v>1060</v>
      </c>
      <c r="C153" s="17" t="str">
        <f>HYPERLINK("https://ra-matina.ru/?vendor_code=pa_223")</f>
        <v>https://ra-matina.ru/?vendor_code=pa_223</v>
      </c>
      <c r="D153" s="18" t="s">
        <v>21</v>
      </c>
      <c r="E153" s="19" t="s">
        <v>763</v>
      </c>
      <c r="F153" s="15" t="s">
        <v>15</v>
      </c>
      <c r="G153" s="20" t="s">
        <v>393</v>
      </c>
    </row>
    <row r="154" ht="13.5" customHeight="1">
      <c r="A154" s="15" t="s">
        <v>1061</v>
      </c>
      <c r="B154" s="52" t="s">
        <v>1062</v>
      </c>
      <c r="C154" s="17" t="str">
        <f>HYPERLINK("https://ra-matina.ru/?vendor_code=KrscroN019_1А")</f>
        <v>https://ra-matina.ru/?vendor_code=KrscroN019_1А</v>
      </c>
      <c r="D154" s="15" t="s">
        <v>43</v>
      </c>
      <c r="E154" s="19" t="s">
        <v>752</v>
      </c>
      <c r="F154" s="15" t="s">
        <v>15</v>
      </c>
      <c r="G154" s="21">
        <v>30000.0</v>
      </c>
    </row>
    <row r="155" ht="13.5" customHeight="1">
      <c r="A155" s="53" t="s">
        <v>1063</v>
      </c>
      <c r="B155" s="52" t="s">
        <v>1064</v>
      </c>
      <c r="C155" s="17" t="str">
        <f>HYPERLINK("https://ra-matina.ru/?vendor_code=С04А1-5")</f>
        <v>https://ra-matina.ru/?vendor_code=С04А1-5</v>
      </c>
      <c r="D155" s="53" t="s">
        <v>21</v>
      </c>
      <c r="E155" s="19" t="s">
        <v>752</v>
      </c>
      <c r="F155" s="15" t="s">
        <v>15</v>
      </c>
      <c r="G155" s="54" t="s">
        <v>260</v>
      </c>
    </row>
    <row r="156" ht="13.5" customHeight="1">
      <c r="A156" s="53" t="s">
        <v>1065</v>
      </c>
      <c r="B156" s="52" t="s">
        <v>1066</v>
      </c>
      <c r="C156" s="17" t="str">
        <f>HYPERLINK("https://ra-matina.ru/?vendor_code=С04А5")</f>
        <v>https://ra-matina.ru/?vendor_code=С04А5</v>
      </c>
      <c r="D156" s="53" t="s">
        <v>28</v>
      </c>
      <c r="E156" s="19" t="s">
        <v>752</v>
      </c>
      <c r="F156" s="15" t="s">
        <v>15</v>
      </c>
      <c r="G156" s="54" t="s">
        <v>260</v>
      </c>
    </row>
    <row r="157" ht="13.5" customHeight="1">
      <c r="A157" s="51" t="s">
        <v>1067</v>
      </c>
      <c r="B157" s="52" t="s">
        <v>1068</v>
      </c>
      <c r="C157" s="17" t="str">
        <f>HYPERLINK("https://ra-matina.ru/?vendor_code=UM_169")</f>
        <v>https://ra-matina.ru/?vendor_code=UM_169</v>
      </c>
      <c r="D157" s="53" t="s">
        <v>760</v>
      </c>
      <c r="E157" s="19" t="s">
        <v>752</v>
      </c>
      <c r="F157" s="15" t="s">
        <v>15</v>
      </c>
      <c r="G157" s="54" t="s">
        <v>854</v>
      </c>
    </row>
    <row r="158" ht="13.5" customHeight="1">
      <c r="A158" s="51" t="s">
        <v>1069</v>
      </c>
      <c r="B158" s="52" t="s">
        <v>1070</v>
      </c>
      <c r="C158" s="17" t="str">
        <f>HYPERLINK("https://ra-matina.ru/?vendor_code=pa_183")</f>
        <v>https://ra-matina.ru/?vendor_code=pa_183</v>
      </c>
      <c r="D158" s="53" t="s">
        <v>31</v>
      </c>
      <c r="E158" s="19" t="s">
        <v>752</v>
      </c>
      <c r="F158" s="15" t="s">
        <v>15</v>
      </c>
      <c r="G158" s="54" t="s">
        <v>771</v>
      </c>
    </row>
    <row r="159" ht="13.5" customHeight="1">
      <c r="A159" s="55" t="s">
        <v>1071</v>
      </c>
      <c r="B159" s="52" t="s">
        <v>1072</v>
      </c>
      <c r="C159" s="17" t="str">
        <f>HYPERLINK("https://ra-matina.ru/?vendor_code=KRD001A7GGSC")</f>
        <v>https://ra-matina.ru/?vendor_code=KRD001A7GGSC</v>
      </c>
      <c r="D159" s="53" t="s">
        <v>18</v>
      </c>
      <c r="E159" s="19" t="s">
        <v>752</v>
      </c>
      <c r="F159" s="15" t="s">
        <v>15</v>
      </c>
      <c r="G159" s="54" t="s">
        <v>845</v>
      </c>
    </row>
    <row r="160" ht="13.5" customHeight="1">
      <c r="A160" s="53" t="s">
        <v>1073</v>
      </c>
      <c r="B160" s="52" t="s">
        <v>1074</v>
      </c>
      <c r="C160" s="17" t="str">
        <f>HYPERLINK("https://ra-matina.ru/?vendor_code=art_514")</f>
        <v>https://ra-matina.ru/?vendor_code=art_514</v>
      </c>
      <c r="D160" s="53" t="s">
        <v>13</v>
      </c>
      <c r="E160" s="19" t="s">
        <v>752</v>
      </c>
      <c r="F160" s="15" t="s">
        <v>15</v>
      </c>
      <c r="G160" s="54" t="s">
        <v>771</v>
      </c>
    </row>
    <row r="161" ht="13.5" customHeight="1">
      <c r="A161" s="55" t="s">
        <v>1075</v>
      </c>
      <c r="B161" s="52" t="s">
        <v>1076</v>
      </c>
      <c r="C161" s="17" t="str">
        <f>HYPERLINK("https://ra-matina.ru/?vendor_code=KRD001A2GGSC")</f>
        <v>https://ra-matina.ru/?vendor_code=KRD001A2GGSC</v>
      </c>
      <c r="D161" s="53" t="s">
        <v>1077</v>
      </c>
      <c r="E161" s="19" t="s">
        <v>752</v>
      </c>
      <c r="F161" s="15" t="s">
        <v>15</v>
      </c>
      <c r="G161" s="54" t="s">
        <v>1078</v>
      </c>
    </row>
    <row r="162" ht="13.5" customHeight="1">
      <c r="A162" s="55" t="s">
        <v>1079</v>
      </c>
      <c r="B162" s="52" t="s">
        <v>1076</v>
      </c>
      <c r="C162" s="17" t="str">
        <f>HYPERLINK("https://ra-matina.ru/?vendor_code=KRD062B4GGSC")</f>
        <v>https://ra-matina.ru/?vendor_code=KRD062B4GGSC</v>
      </c>
      <c r="D162" s="53" t="s">
        <v>13</v>
      </c>
      <c r="E162" s="19" t="s">
        <v>752</v>
      </c>
      <c r="F162" s="15" t="s">
        <v>15</v>
      </c>
      <c r="G162" s="54" t="s">
        <v>1078</v>
      </c>
    </row>
    <row r="163" ht="13.5" customHeight="1">
      <c r="A163" s="51" t="s">
        <v>1080</v>
      </c>
      <c r="B163" s="52" t="s">
        <v>1081</v>
      </c>
      <c r="C163" s="17" t="str">
        <f>HYPERLINK("https://ra-matina.ru/?vendor_code=art_651")</f>
        <v>https://ra-matina.ru/?vendor_code=art_651</v>
      </c>
      <c r="D163" s="53" t="s">
        <v>21</v>
      </c>
      <c r="E163" s="19" t="s">
        <v>763</v>
      </c>
      <c r="F163" s="15" t="s">
        <v>15</v>
      </c>
      <c r="G163" s="54" t="s">
        <v>280</v>
      </c>
    </row>
    <row r="164" ht="13.5" customHeight="1">
      <c r="A164" s="53" t="s">
        <v>1082</v>
      </c>
      <c r="B164" s="52" t="s">
        <v>1081</v>
      </c>
      <c r="C164" s="17" t="str">
        <f>HYPERLINK("https://ra-matina.ru/?vendor_code=art_517")</f>
        <v>https://ra-matina.ru/?vendor_code=art_517</v>
      </c>
      <c r="D164" s="53" t="s">
        <v>43</v>
      </c>
      <c r="E164" s="19" t="s">
        <v>752</v>
      </c>
      <c r="F164" s="15" t="s">
        <v>15</v>
      </c>
      <c r="G164" s="54" t="s">
        <v>32</v>
      </c>
    </row>
    <row r="165" ht="13.5" customHeight="1">
      <c r="A165" s="51" t="s">
        <v>1083</v>
      </c>
      <c r="B165" s="52" t="s">
        <v>1084</v>
      </c>
      <c r="C165" s="17" t="str">
        <f>HYPERLINK("https://ra-matina.ru/?vendor_code=UM_210")</f>
        <v>https://ra-matina.ru/?vendor_code=UM_210</v>
      </c>
      <c r="D165" s="53" t="s">
        <v>28</v>
      </c>
      <c r="E165" s="19" t="s">
        <v>763</v>
      </c>
      <c r="F165" s="15" t="s">
        <v>15</v>
      </c>
      <c r="G165" s="54" t="s">
        <v>280</v>
      </c>
    </row>
    <row r="166" ht="13.5" customHeight="1">
      <c r="A166" s="51" t="s">
        <v>1085</v>
      </c>
      <c r="B166" s="52" t="s">
        <v>1086</v>
      </c>
      <c r="C166" s="17" t="str">
        <f>HYPERLINK("https://ra-matina.ru/?vendor_code=UM_053")</f>
        <v>https://ra-matina.ru/?vendor_code=UM_053</v>
      </c>
      <c r="D166" s="53" t="s">
        <v>28</v>
      </c>
      <c r="E166" s="19" t="s">
        <v>763</v>
      </c>
      <c r="F166" s="15" t="s">
        <v>15</v>
      </c>
      <c r="G166" s="54" t="s">
        <v>110</v>
      </c>
    </row>
    <row r="167" ht="13.5" customHeight="1">
      <c r="A167" s="55" t="s">
        <v>1087</v>
      </c>
      <c r="B167" s="52" t="s">
        <v>1088</v>
      </c>
      <c r="C167" s="17" t="str">
        <f>HYPERLINK("https://ra-matina.ru/?vendor_code=KRD062A1GGSC")</f>
        <v>https://ra-matina.ru/?vendor_code=KRD062A1GGSC</v>
      </c>
      <c r="D167" s="53" t="s">
        <v>756</v>
      </c>
      <c r="E167" s="19" t="s">
        <v>752</v>
      </c>
      <c r="F167" s="15" t="s">
        <v>15</v>
      </c>
      <c r="G167" s="54" t="s">
        <v>757</v>
      </c>
    </row>
    <row r="168" ht="13.5" customHeight="1">
      <c r="A168" s="55" t="s">
        <v>1089</v>
      </c>
      <c r="B168" s="52" t="s">
        <v>1088</v>
      </c>
      <c r="C168" s="17" t="str">
        <f>HYPERLINK("https://ra-matina.ru/?vendor_code=KRD063A5GGSC")</f>
        <v>https://ra-matina.ru/?vendor_code=KRD063A5GGSC</v>
      </c>
      <c r="D168" s="53" t="s">
        <v>43</v>
      </c>
      <c r="E168" s="19" t="s">
        <v>752</v>
      </c>
      <c r="F168" s="15" t="s">
        <v>15</v>
      </c>
      <c r="G168" s="54" t="s">
        <v>56</v>
      </c>
    </row>
    <row r="169" ht="13.5" customHeight="1">
      <c r="A169" s="15" t="s">
        <v>1090</v>
      </c>
      <c r="B169" s="52" t="s">
        <v>1091</v>
      </c>
      <c r="C169" s="17" t="str">
        <f>HYPERLINK("https://ra-matina.ru/?vendor_code=KrscroN020А")</f>
        <v>https://ra-matina.ru/?vendor_code=KrscroN020А</v>
      </c>
      <c r="D169" s="15" t="s">
        <v>28</v>
      </c>
      <c r="E169" s="19" t="s">
        <v>763</v>
      </c>
      <c r="F169" s="15" t="s">
        <v>15</v>
      </c>
      <c r="G169" s="21">
        <v>30000.0</v>
      </c>
    </row>
    <row r="170" ht="13.5" customHeight="1">
      <c r="A170" s="53" t="s">
        <v>1092</v>
      </c>
      <c r="B170" s="52" t="s">
        <v>1093</v>
      </c>
      <c r="C170" s="17" t="str">
        <f>HYPERLINK("https://ra-matina.ru/?vendor_code=С03А5")</f>
        <v>https://ra-matina.ru/?vendor_code=С03А5</v>
      </c>
      <c r="D170" s="53" t="s">
        <v>28</v>
      </c>
      <c r="E170" s="19" t="s">
        <v>752</v>
      </c>
      <c r="F170" s="15" t="s">
        <v>15</v>
      </c>
      <c r="G170" s="54" t="s">
        <v>260</v>
      </c>
    </row>
    <row r="171" ht="13.5" customHeight="1">
      <c r="A171" s="53" t="s">
        <v>1094</v>
      </c>
      <c r="B171" s="52" t="s">
        <v>1093</v>
      </c>
      <c r="C171" s="17" t="str">
        <f>HYPERLINK("https://ra-matina.ru/?vendor_code=С03Б5")</f>
        <v>https://ra-matina.ru/?vendor_code=С03Б5</v>
      </c>
      <c r="D171" s="53" t="s">
        <v>21</v>
      </c>
      <c r="E171" s="19" t="s">
        <v>752</v>
      </c>
      <c r="F171" s="15" t="s">
        <v>15</v>
      </c>
      <c r="G171" s="54" t="s">
        <v>1095</v>
      </c>
    </row>
    <row r="172" ht="13.5" customHeight="1">
      <c r="A172" s="53" t="s">
        <v>1096</v>
      </c>
      <c r="B172" s="52" t="s">
        <v>1097</v>
      </c>
      <c r="C172" s="17" t="str">
        <f>HYPERLINK("https://ra-matina.ru/?vendor_code=С02А5")</f>
        <v>https://ra-matina.ru/?vendor_code=С02А5</v>
      </c>
      <c r="D172" s="53" t="s">
        <v>28</v>
      </c>
      <c r="E172" s="19" t="s">
        <v>752</v>
      </c>
      <c r="F172" s="15" t="s">
        <v>15</v>
      </c>
      <c r="G172" s="54" t="s">
        <v>260</v>
      </c>
    </row>
    <row r="173" ht="13.5" customHeight="1">
      <c r="A173" s="53" t="s">
        <v>1098</v>
      </c>
      <c r="B173" s="52" t="s">
        <v>1097</v>
      </c>
      <c r="C173" s="17" t="str">
        <f>HYPERLINK("https://ra-matina.ru/?vendor_code=С02Б5")</f>
        <v>https://ra-matina.ru/?vendor_code=С02Б5</v>
      </c>
      <c r="D173" s="53" t="s">
        <v>21</v>
      </c>
      <c r="E173" s="19" t="s">
        <v>752</v>
      </c>
      <c r="F173" s="15" t="s">
        <v>15</v>
      </c>
      <c r="G173" s="54" t="s">
        <v>1095</v>
      </c>
    </row>
    <row r="174" ht="13.5" customHeight="1">
      <c r="A174" s="53" t="s">
        <v>1099</v>
      </c>
      <c r="B174" s="52" t="s">
        <v>1100</v>
      </c>
      <c r="C174" s="17" t="str">
        <f>HYPERLINK("https://ra-matina.ru/?vendor_code=С01А5")</f>
        <v>https://ra-matina.ru/?vendor_code=С01А5</v>
      </c>
      <c r="D174" s="53" t="s">
        <v>28</v>
      </c>
      <c r="E174" s="19" t="s">
        <v>752</v>
      </c>
      <c r="F174" s="15" t="s">
        <v>15</v>
      </c>
      <c r="G174" s="54" t="s">
        <v>260</v>
      </c>
    </row>
    <row r="175" ht="13.5" customHeight="1">
      <c r="A175" s="53" t="s">
        <v>1101</v>
      </c>
      <c r="B175" s="52" t="s">
        <v>1100</v>
      </c>
      <c r="C175" s="17" t="str">
        <f>HYPERLINK("https://ra-matina.ru/?vendor_code=С01А1-5")</f>
        <v>https://ra-matina.ru/?vendor_code=С01А1-5</v>
      </c>
      <c r="D175" s="53" t="s">
        <v>21</v>
      </c>
      <c r="E175" s="19" t="s">
        <v>752</v>
      </c>
      <c r="F175" s="15" t="s">
        <v>15</v>
      </c>
      <c r="G175" s="54" t="s">
        <v>1095</v>
      </c>
    </row>
    <row r="176" ht="13.5" customHeight="1">
      <c r="A176" s="15" t="s">
        <v>1102</v>
      </c>
      <c r="B176" s="52" t="s">
        <v>1103</v>
      </c>
      <c r="C176" s="17" t="str">
        <f>HYPERLINK("https://ra-matina.ru/?vendor_code=KrscroN024А")</f>
        <v>https://ra-matina.ru/?vendor_code=KrscroN024А</v>
      </c>
      <c r="D176" s="15" t="s">
        <v>28</v>
      </c>
      <c r="E176" s="19" t="s">
        <v>763</v>
      </c>
      <c r="F176" s="15" t="s">
        <v>15</v>
      </c>
      <c r="G176" s="21">
        <v>27500.0</v>
      </c>
    </row>
    <row r="177" ht="13.5" customHeight="1">
      <c r="A177" s="51" t="s">
        <v>1104</v>
      </c>
      <c r="B177" s="52" t="s">
        <v>1105</v>
      </c>
      <c r="C177" s="17" t="str">
        <f>HYPERLINK("https://ra-matina.ru/?vendor_code=UM_118")</f>
        <v>https://ra-matina.ru/?vendor_code=UM_118</v>
      </c>
      <c r="D177" s="53" t="s">
        <v>21</v>
      </c>
      <c r="E177" s="19" t="s">
        <v>763</v>
      </c>
      <c r="F177" s="15" t="s">
        <v>15</v>
      </c>
      <c r="G177" s="54" t="s">
        <v>280</v>
      </c>
    </row>
    <row r="178" ht="13.5" customHeight="1">
      <c r="A178" s="51" t="s">
        <v>1106</v>
      </c>
      <c r="B178" s="52" t="s">
        <v>1107</v>
      </c>
      <c r="C178" s="17" t="str">
        <f>HYPERLINK("https://ra-matina.ru/?vendor_code=UM_211")</f>
        <v>https://ra-matina.ru/?vendor_code=UM_211</v>
      </c>
      <c r="D178" s="53" t="s">
        <v>898</v>
      </c>
      <c r="E178" s="19" t="s">
        <v>752</v>
      </c>
      <c r="F178" s="15" t="s">
        <v>15</v>
      </c>
      <c r="G178" s="54" t="s">
        <v>23</v>
      </c>
    </row>
    <row r="179" ht="13.5" customHeight="1">
      <c r="A179" s="51" t="s">
        <v>1108</v>
      </c>
      <c r="B179" s="52" t="s">
        <v>1109</v>
      </c>
      <c r="C179" s="17" t="str">
        <f>HYPERLINK("https://ra-matina.ru/?vendor_code=UM_095")</f>
        <v>https://ra-matina.ru/?vendor_code=UM_095</v>
      </c>
      <c r="D179" s="53" t="s">
        <v>43</v>
      </c>
      <c r="E179" s="19" t="s">
        <v>752</v>
      </c>
      <c r="F179" s="15" t="s">
        <v>15</v>
      </c>
      <c r="G179" s="54" t="s">
        <v>32</v>
      </c>
    </row>
    <row r="180" ht="13.5" customHeight="1">
      <c r="A180" s="53" t="s">
        <v>1110</v>
      </c>
      <c r="B180" s="52" t="s">
        <v>1111</v>
      </c>
      <c r="C180" s="17" t="str">
        <f>HYPERLINK("https://ra-matina.ru/?vendor_code=art_668")</f>
        <v>https://ra-matina.ru/?vendor_code=art_668</v>
      </c>
      <c r="D180" s="53" t="s">
        <v>898</v>
      </c>
      <c r="E180" s="19" t="s">
        <v>752</v>
      </c>
      <c r="F180" s="15" t="s">
        <v>15</v>
      </c>
      <c r="G180" s="54" t="s">
        <v>16</v>
      </c>
    </row>
    <row r="181" ht="13.5" customHeight="1">
      <c r="A181" s="15" t="s">
        <v>1112</v>
      </c>
      <c r="B181" s="52" t="s">
        <v>1113</v>
      </c>
      <c r="C181" s="17" t="str">
        <f>HYPERLINK("https://ra-matina.ru/?vendor_code=KrscroN022_05А")</f>
        <v>https://ra-matina.ru/?vendor_code=KrscroN022_05А</v>
      </c>
      <c r="D181" s="15" t="s">
        <v>13</v>
      </c>
      <c r="E181" s="19" t="s">
        <v>752</v>
      </c>
      <c r="F181" s="15" t="s">
        <v>15</v>
      </c>
      <c r="G181" s="21">
        <v>34500.0</v>
      </c>
    </row>
    <row r="182" ht="13.5" customHeight="1">
      <c r="A182" s="15" t="s">
        <v>1114</v>
      </c>
      <c r="B182" s="52" t="s">
        <v>1115</v>
      </c>
      <c r="C182" s="17" t="str">
        <f>HYPERLINK("https://ra-matina.ru/?vendor_code=KrscroN022_08А")</f>
        <v>https://ra-matina.ru/?vendor_code=KrscroN022_08А</v>
      </c>
      <c r="D182" s="15" t="s">
        <v>43</v>
      </c>
      <c r="E182" s="19" t="s">
        <v>752</v>
      </c>
      <c r="F182" s="15" t="s">
        <v>15</v>
      </c>
      <c r="G182" s="21">
        <v>32200.0</v>
      </c>
    </row>
    <row r="183" ht="13.5" customHeight="1">
      <c r="A183" s="51" t="s">
        <v>1116</v>
      </c>
      <c r="B183" s="52" t="s">
        <v>1117</v>
      </c>
      <c r="C183" s="17" t="str">
        <f>HYPERLINK("https://ra-matina.ru/?vendor_code=art_647")</f>
        <v>https://ra-matina.ru/?vendor_code=art_647</v>
      </c>
      <c r="D183" s="53" t="s">
        <v>31</v>
      </c>
      <c r="E183" s="19" t="s">
        <v>752</v>
      </c>
      <c r="F183" s="15" t="s">
        <v>15</v>
      </c>
      <c r="G183" s="54" t="s">
        <v>771</v>
      </c>
    </row>
    <row r="184" ht="13.5" customHeight="1">
      <c r="A184" s="51" t="s">
        <v>1118</v>
      </c>
      <c r="B184" s="52" t="s">
        <v>1119</v>
      </c>
      <c r="C184" s="17" t="str">
        <f>HYPERLINK("https://ra-matina.ru/?vendor_code=art_663")</f>
        <v>https://ra-matina.ru/?vendor_code=art_663</v>
      </c>
      <c r="D184" s="53" t="s">
        <v>760</v>
      </c>
      <c r="E184" s="19" t="s">
        <v>752</v>
      </c>
      <c r="F184" s="15" t="s">
        <v>15</v>
      </c>
      <c r="G184" s="54" t="s">
        <v>939</v>
      </c>
    </row>
    <row r="185" ht="13.5" customHeight="1">
      <c r="A185" s="51" t="s">
        <v>1120</v>
      </c>
      <c r="B185" s="52" t="s">
        <v>1121</v>
      </c>
      <c r="C185" s="17" t="str">
        <f>HYPERLINK("https://ra-matina.ru/?vendor_code=pa_174")</f>
        <v>https://ra-matina.ru/?vendor_code=pa_174</v>
      </c>
      <c r="D185" s="53" t="s">
        <v>18</v>
      </c>
      <c r="E185" s="19" t="s">
        <v>752</v>
      </c>
      <c r="F185" s="15" t="s">
        <v>15</v>
      </c>
      <c r="G185" s="54" t="s">
        <v>93</v>
      </c>
    </row>
    <row r="186" ht="13.5" customHeight="1">
      <c r="A186" s="51" t="s">
        <v>1122</v>
      </c>
      <c r="B186" s="52" t="s">
        <v>1123</v>
      </c>
      <c r="C186" s="17" t="str">
        <f>HYPERLINK("https://ra-matina.ru/?vendor_code=pa_175")</f>
        <v>https://ra-matina.ru/?vendor_code=pa_175</v>
      </c>
      <c r="D186" s="53" t="s">
        <v>21</v>
      </c>
      <c r="E186" s="19" t="s">
        <v>763</v>
      </c>
      <c r="F186" s="15" t="s">
        <v>15</v>
      </c>
      <c r="G186" s="54" t="s">
        <v>776</v>
      </c>
    </row>
    <row r="187" ht="13.5" customHeight="1">
      <c r="A187" s="15" t="s">
        <v>1124</v>
      </c>
      <c r="B187" s="52" t="s">
        <v>1125</v>
      </c>
      <c r="C187" s="17" t="str">
        <f>HYPERLINK("https://ra-matina.ru/?vendor_code=KrscroN022_1А_1")</f>
        <v>https://ra-matina.ru/?vendor_code=KrscroN022_1А_1</v>
      </c>
      <c r="D187" s="15" t="s">
        <v>43</v>
      </c>
      <c r="E187" s="19" t="s">
        <v>752</v>
      </c>
      <c r="F187" s="15" t="s">
        <v>15</v>
      </c>
      <c r="G187" s="21">
        <v>30000.0</v>
      </c>
    </row>
    <row r="188" ht="13.5" customHeight="1">
      <c r="A188" s="15" t="s">
        <v>1126</v>
      </c>
      <c r="B188" s="52" t="s">
        <v>1127</v>
      </c>
      <c r="C188" s="17" t="str">
        <f>HYPERLINK("https://ra-matina.ru/?vendor_code=KrscroN022_1Б_1")</f>
        <v>https://ra-matina.ru/?vendor_code=KrscroN022_1Б_1</v>
      </c>
      <c r="D188" s="15" t="s">
        <v>31</v>
      </c>
      <c r="E188" s="19" t="s">
        <v>752</v>
      </c>
      <c r="F188" s="15" t="s">
        <v>15</v>
      </c>
      <c r="G188" s="21">
        <v>25000.0</v>
      </c>
    </row>
    <row r="189" ht="13.5" customHeight="1">
      <c r="A189" s="55" t="s">
        <v>1128</v>
      </c>
      <c r="B189" s="52" t="s">
        <v>1129</v>
      </c>
      <c r="C189" s="17" t="str">
        <f>HYPERLINK("https://ra-matina.ru/?vendor_code=KRD064A1GGSC")</f>
        <v>https://ra-matina.ru/?vendor_code=KRD064A1GGSC</v>
      </c>
      <c r="D189" s="53" t="s">
        <v>760</v>
      </c>
      <c r="E189" s="19" t="s">
        <v>752</v>
      </c>
      <c r="F189" s="15" t="s">
        <v>15</v>
      </c>
      <c r="G189" s="54" t="s">
        <v>845</v>
      </c>
    </row>
    <row r="190" ht="13.5" customHeight="1">
      <c r="A190" s="15" t="s">
        <v>1130</v>
      </c>
      <c r="B190" s="52" t="s">
        <v>1131</v>
      </c>
      <c r="C190" s="17" t="str">
        <f>HYPERLINK("https://ra-matina.ru/?vendor_code=KrscroN025А4")</f>
        <v>https://ra-matina.ru/?vendor_code=KrscroN025А4</v>
      </c>
      <c r="D190" s="15" t="s">
        <v>898</v>
      </c>
      <c r="E190" s="19" t="s">
        <v>752</v>
      </c>
      <c r="F190" s="15" t="s">
        <v>15</v>
      </c>
      <c r="G190" s="21">
        <v>31300.0</v>
      </c>
    </row>
    <row r="191" ht="13.5" customHeight="1">
      <c r="A191" s="55" t="s">
        <v>1132</v>
      </c>
      <c r="B191" s="52" t="s">
        <v>1131</v>
      </c>
      <c r="C191" s="17" t="str">
        <f>HYPERLINK("https://ra-matina.ru/?vendor_code=KRD065B1GGSC")</f>
        <v>https://ra-matina.ru/?vendor_code=KRD065B1GGSC</v>
      </c>
      <c r="D191" s="53" t="s">
        <v>43</v>
      </c>
      <c r="E191" s="19" t="s">
        <v>752</v>
      </c>
      <c r="F191" s="15" t="s">
        <v>15</v>
      </c>
      <c r="G191" s="54" t="s">
        <v>845</v>
      </c>
    </row>
    <row r="192" ht="13.5" customHeight="1">
      <c r="A192" s="55" t="s">
        <v>1133</v>
      </c>
      <c r="B192" s="52" t="s">
        <v>1134</v>
      </c>
      <c r="C192" s="17" t="str">
        <f>HYPERLINK("https://ra-matina.ru/?vendor_code=KRD068B1GGSC")</f>
        <v>https://ra-matina.ru/?vendor_code=KRD068B1GGSC</v>
      </c>
      <c r="D192" s="53" t="s">
        <v>21</v>
      </c>
      <c r="E192" s="19" t="s">
        <v>763</v>
      </c>
      <c r="F192" s="15" t="s">
        <v>15</v>
      </c>
      <c r="G192" s="54" t="s">
        <v>889</v>
      </c>
    </row>
    <row r="193" ht="13.5" customHeight="1">
      <c r="A193" s="15" t="s">
        <v>1135</v>
      </c>
      <c r="B193" s="52" t="s">
        <v>1136</v>
      </c>
      <c r="C193" s="17" t="str">
        <f>HYPERLINK("https://ra-matina.ru/?vendor_code=KrscroN026А1")</f>
        <v>https://ra-matina.ru/?vendor_code=KrscroN026А1</v>
      </c>
      <c r="D193" s="15" t="s">
        <v>43</v>
      </c>
      <c r="E193" s="19" t="s">
        <v>752</v>
      </c>
      <c r="F193" s="15" t="s">
        <v>15</v>
      </c>
      <c r="G193" s="21">
        <v>31300.0</v>
      </c>
    </row>
    <row r="194" ht="13.5" customHeight="1">
      <c r="A194" s="55" t="s">
        <v>1137</v>
      </c>
      <c r="B194" s="52" t="s">
        <v>1136</v>
      </c>
      <c r="C194" s="17" t="str">
        <f>HYPERLINK("https://ra-matina.ru/?vendor_code=KRD069B3GGSC")</f>
        <v>https://ra-matina.ru/?vendor_code=KRD069B3GGSC</v>
      </c>
      <c r="D194" s="53" t="s">
        <v>21</v>
      </c>
      <c r="E194" s="19" t="s">
        <v>763</v>
      </c>
      <c r="F194" s="15" t="s">
        <v>15</v>
      </c>
      <c r="G194" s="54" t="s">
        <v>889</v>
      </c>
    </row>
    <row r="195" ht="13.5" customHeight="1">
      <c r="A195" s="15" t="s">
        <v>1138</v>
      </c>
      <c r="B195" s="52" t="s">
        <v>1139</v>
      </c>
      <c r="C195" s="17" t="str">
        <f>HYPERLINK("https://ra-matina.ru/?vendor_code=KrscroN027А")</f>
        <v>https://ra-matina.ru/?vendor_code=KrscroN027А</v>
      </c>
      <c r="D195" s="15" t="s">
        <v>28</v>
      </c>
      <c r="E195" s="19" t="s">
        <v>763</v>
      </c>
      <c r="F195" s="15" t="s">
        <v>15</v>
      </c>
      <c r="G195" s="21">
        <v>31300.0</v>
      </c>
    </row>
    <row r="196" ht="13.5" customHeight="1">
      <c r="A196" s="55" t="s">
        <v>1140</v>
      </c>
      <c r="B196" s="52" t="s">
        <v>1139</v>
      </c>
      <c r="C196" s="17" t="str">
        <f>HYPERLINK("https://ra-matina.ru/?vendor_code=KRD066A5GGSC")</f>
        <v>https://ra-matina.ru/?vendor_code=KRD066A5GGSC</v>
      </c>
      <c r="D196" s="53" t="s">
        <v>35</v>
      </c>
      <c r="E196" s="19" t="s">
        <v>752</v>
      </c>
      <c r="F196" s="15" t="s">
        <v>15</v>
      </c>
      <c r="G196" s="54" t="s">
        <v>889</v>
      </c>
    </row>
    <row r="197" ht="13.5" customHeight="1">
      <c r="A197" s="55" t="s">
        <v>1141</v>
      </c>
      <c r="B197" s="52" t="s">
        <v>1142</v>
      </c>
      <c r="C197" s="17" t="str">
        <f>HYPERLINK("https://ra-matina.ru/?vendor_code=KRD066B2GGSC")</f>
        <v>https://ra-matina.ru/?vendor_code=KRD066B2GGSC</v>
      </c>
      <c r="D197" s="53" t="s">
        <v>760</v>
      </c>
      <c r="E197" s="19" t="s">
        <v>752</v>
      </c>
      <c r="F197" s="15" t="s">
        <v>15</v>
      </c>
      <c r="G197" s="54" t="s">
        <v>1078</v>
      </c>
    </row>
    <row r="198" ht="13.5" customHeight="1">
      <c r="A198" s="55" t="s">
        <v>1143</v>
      </c>
      <c r="B198" s="52" t="s">
        <v>1142</v>
      </c>
      <c r="C198" s="17" t="str">
        <f>HYPERLINK("https://ra-matina.ru/?vendor_code=KRD067A1GGSC")</f>
        <v>https://ra-matina.ru/?vendor_code=KRD067A1GGSC</v>
      </c>
      <c r="D198" s="53" t="s">
        <v>302</v>
      </c>
      <c r="E198" s="19" t="s">
        <v>752</v>
      </c>
      <c r="F198" s="15" t="s">
        <v>15</v>
      </c>
      <c r="G198" s="54" t="s">
        <v>889</v>
      </c>
    </row>
    <row r="199" ht="13.5" customHeight="1">
      <c r="A199" s="55" t="s">
        <v>1144</v>
      </c>
      <c r="B199" s="52" t="s">
        <v>1145</v>
      </c>
      <c r="C199" s="17" t="str">
        <f>HYPERLINK("https://ra-matina.ru/?vendor_code=KRD071B1GGSC")</f>
        <v>https://ra-matina.ru/?vendor_code=KRD071B1GGSC</v>
      </c>
      <c r="D199" s="53" t="s">
        <v>21</v>
      </c>
      <c r="E199" s="19" t="s">
        <v>763</v>
      </c>
      <c r="F199" s="15" t="s">
        <v>15</v>
      </c>
      <c r="G199" s="54" t="s">
        <v>889</v>
      </c>
    </row>
    <row r="200" ht="13.5" customHeight="1">
      <c r="A200" s="15" t="s">
        <v>1146</v>
      </c>
      <c r="B200" s="52" t="s">
        <v>1147</v>
      </c>
      <c r="C200" s="17" t="str">
        <f>HYPERLINK("https://ra-matina.ru/?vendor_code=KrscroN022_01Б")</f>
        <v>https://ra-matina.ru/?vendor_code=KrscroN022_01Б</v>
      </c>
      <c r="D200" s="15" t="s">
        <v>21</v>
      </c>
      <c r="E200" s="19" t="s">
        <v>763</v>
      </c>
      <c r="F200" s="15" t="s">
        <v>15</v>
      </c>
      <c r="G200" s="21">
        <v>33000.0</v>
      </c>
    </row>
    <row r="201" ht="13.5" customHeight="1">
      <c r="A201" s="15" t="s">
        <v>1148</v>
      </c>
      <c r="B201" s="52" t="s">
        <v>1149</v>
      </c>
      <c r="C201" s="17" t="str">
        <f>HYPERLINK("https://ra-matina.ru/?vendor_code=KrscroN022_01А_1")</f>
        <v>https://ra-matina.ru/?vendor_code=KrscroN022_01А_1</v>
      </c>
      <c r="D201" s="15" t="s">
        <v>43</v>
      </c>
      <c r="E201" s="19" t="s">
        <v>752</v>
      </c>
      <c r="F201" s="15" t="s">
        <v>15</v>
      </c>
      <c r="G201" s="21">
        <v>35000.0</v>
      </c>
    </row>
    <row r="202" ht="13.5" customHeight="1">
      <c r="A202" s="15" t="s">
        <v>1150</v>
      </c>
      <c r="B202" s="52" t="s">
        <v>1151</v>
      </c>
      <c r="C202" s="17" t="str">
        <f>HYPERLINK("https://ra-matina.ru/?vendor_code=KrscroN022_03А")</f>
        <v>https://ra-matina.ru/?vendor_code=KrscroN022_03А</v>
      </c>
      <c r="D202" s="15" t="s">
        <v>43</v>
      </c>
      <c r="E202" s="19" t="s">
        <v>752</v>
      </c>
      <c r="F202" s="15" t="s">
        <v>15</v>
      </c>
      <c r="G202" s="21">
        <v>30000.0</v>
      </c>
    </row>
    <row r="203" ht="13.5" customHeight="1">
      <c r="A203" s="15" t="s">
        <v>1152</v>
      </c>
      <c r="B203" s="52" t="s">
        <v>1153</v>
      </c>
      <c r="C203" s="17" t="str">
        <f>HYPERLINK("https://ra-matina.ru/?vendor_code=KrscroN022_03Б")</f>
        <v>https://ra-matina.ru/?vendor_code=KrscroN022_03Б</v>
      </c>
      <c r="D203" s="15" t="s">
        <v>31</v>
      </c>
      <c r="E203" s="19" t="s">
        <v>752</v>
      </c>
      <c r="F203" s="15" t="s">
        <v>15</v>
      </c>
      <c r="G203" s="21">
        <v>25000.0</v>
      </c>
    </row>
    <row r="204" ht="13.5" customHeight="1">
      <c r="A204" s="55" t="s">
        <v>1154</v>
      </c>
      <c r="B204" s="52" t="s">
        <v>1155</v>
      </c>
      <c r="C204" s="17" t="str">
        <f>HYPERLINK("https://ra-matina.ru/?vendor_code=KRD072B1GGSC")</f>
        <v>https://ra-matina.ru/?vendor_code=KRD072B1GGSC</v>
      </c>
      <c r="D204" s="53" t="s">
        <v>21</v>
      </c>
      <c r="E204" s="19" t="s">
        <v>763</v>
      </c>
      <c r="F204" s="15" t="s">
        <v>15</v>
      </c>
      <c r="G204" s="54" t="s">
        <v>889</v>
      </c>
    </row>
    <row r="205" ht="13.5" customHeight="1">
      <c r="A205" s="55" t="s">
        <v>1156</v>
      </c>
      <c r="B205" s="52" t="s">
        <v>1155</v>
      </c>
      <c r="C205" s="17" t="str">
        <f>HYPERLINK("https://ra-matina.ru/?vendor_code=KRD072A1GGSC")</f>
        <v>https://ra-matina.ru/?vendor_code=KRD072A1GGSC</v>
      </c>
      <c r="D205" s="53" t="s">
        <v>43</v>
      </c>
      <c r="E205" s="19" t="s">
        <v>752</v>
      </c>
      <c r="F205" s="15" t="s">
        <v>15</v>
      </c>
      <c r="G205" s="54" t="s">
        <v>1078</v>
      </c>
    </row>
    <row r="206" ht="13.5" customHeight="1">
      <c r="A206" s="15" t="s">
        <v>1157</v>
      </c>
      <c r="B206" s="52" t="s">
        <v>1158</v>
      </c>
      <c r="C206" s="17" t="str">
        <f>HYPERLINK("https://ra-matina.ru/?vendor_code=KrscroN022_04Б")</f>
        <v>https://ra-matina.ru/?vendor_code=KrscroN022_04Б</v>
      </c>
      <c r="D206" s="15" t="s">
        <v>21</v>
      </c>
      <c r="E206" s="19" t="s">
        <v>763</v>
      </c>
      <c r="F206" s="15" t="s">
        <v>15</v>
      </c>
      <c r="G206" s="21">
        <v>33000.0</v>
      </c>
    </row>
    <row r="207" ht="13.5" customHeight="1">
      <c r="A207" s="15" t="s">
        <v>1159</v>
      </c>
      <c r="B207" s="52" t="s">
        <v>1160</v>
      </c>
      <c r="C207" s="17" t="str">
        <f>HYPERLINK("https://ra-matina.ru/?vendor_code=KrscroN022_04А")</f>
        <v>https://ra-matina.ru/?vendor_code=KrscroN022_04А</v>
      </c>
      <c r="D207" s="15" t="s">
        <v>43</v>
      </c>
      <c r="E207" s="19" t="s">
        <v>752</v>
      </c>
      <c r="F207" s="15" t="s">
        <v>15</v>
      </c>
      <c r="G207" s="21">
        <v>35000.0</v>
      </c>
    </row>
    <row r="208" ht="13.5" customHeight="1">
      <c r="A208" s="55" t="s">
        <v>1161</v>
      </c>
      <c r="B208" s="52" t="s">
        <v>1162</v>
      </c>
      <c r="C208" s="17" t="str">
        <f>HYPERLINK("https://ra-matina.ru/?vendor_code=KRD073B1GGSC")</f>
        <v>https://ra-matina.ru/?vendor_code=KRD073B1GGSC</v>
      </c>
      <c r="D208" s="53" t="s">
        <v>31</v>
      </c>
      <c r="E208" s="19" t="s">
        <v>752</v>
      </c>
      <c r="F208" s="15" t="s">
        <v>15</v>
      </c>
      <c r="G208" s="54" t="s">
        <v>889</v>
      </c>
    </row>
    <row r="209" ht="13.5" customHeight="1">
      <c r="A209" s="55" t="s">
        <v>1163</v>
      </c>
      <c r="B209" s="52" t="s">
        <v>1164</v>
      </c>
      <c r="C209" s="17" t="str">
        <f>HYPERLINK("https://ra-matina.ru/?vendor_code=KRD070A2GGSC")</f>
        <v>https://ra-matina.ru/?vendor_code=KRD070A2GGSC</v>
      </c>
      <c r="D209" s="53" t="s">
        <v>13</v>
      </c>
      <c r="E209" s="19" t="s">
        <v>752</v>
      </c>
      <c r="F209" s="15" t="s">
        <v>15</v>
      </c>
      <c r="G209" s="54" t="s">
        <v>1078</v>
      </c>
    </row>
    <row r="210" ht="13.5" customHeight="1">
      <c r="A210" s="15" t="s">
        <v>1165</v>
      </c>
      <c r="B210" s="52" t="s">
        <v>1166</v>
      </c>
      <c r="C210" s="17" t="str">
        <f>HYPERLINK("https://ra-matina.ru/?vendor_code=KrscroN022_1Б1")</f>
        <v>https://ra-matina.ru/?vendor_code=KrscroN022_1Б1</v>
      </c>
      <c r="D210" s="15" t="s">
        <v>31</v>
      </c>
      <c r="E210" s="19" t="s">
        <v>752</v>
      </c>
      <c r="F210" s="15" t="s">
        <v>15</v>
      </c>
      <c r="G210" s="21">
        <v>33000.0</v>
      </c>
    </row>
    <row r="211" ht="13.5" customHeight="1">
      <c r="A211" s="15" t="s">
        <v>1167</v>
      </c>
      <c r="B211" s="52" t="s">
        <v>1168</v>
      </c>
      <c r="C211" s="17" t="str">
        <f>HYPERLINK("https://ra-matina.ru/?vendor_code=KrscroN022_1А1")</f>
        <v>https://ra-matina.ru/?vendor_code=KrscroN022_1А1</v>
      </c>
      <c r="D211" s="15" t="s">
        <v>43</v>
      </c>
      <c r="E211" s="19" t="s">
        <v>752</v>
      </c>
      <c r="F211" s="15" t="s">
        <v>15</v>
      </c>
      <c r="G211" s="21">
        <v>35000.0</v>
      </c>
    </row>
    <row r="212" ht="13.5" customHeight="1">
      <c r="A212" s="15" t="s">
        <v>1169</v>
      </c>
      <c r="B212" s="52" t="s">
        <v>1170</v>
      </c>
      <c r="C212" s="17" t="str">
        <f>HYPERLINK("https://ra-matina.ru/?vendor_code=KrscroN022А1")</f>
        <v>https://ra-matina.ru/?vendor_code=KrscroN022А1</v>
      </c>
      <c r="D212" s="15" t="s">
        <v>43</v>
      </c>
      <c r="E212" s="19" t="s">
        <v>752</v>
      </c>
      <c r="F212" s="15" t="s">
        <v>15</v>
      </c>
      <c r="G212" s="21">
        <v>31300.0</v>
      </c>
    </row>
    <row r="213" ht="13.5" customHeight="1">
      <c r="A213" s="15" t="s">
        <v>1171</v>
      </c>
      <c r="B213" s="52" t="s">
        <v>1172</v>
      </c>
      <c r="C213" s="17" t="str">
        <f>HYPERLINK("https://ra-matina.ru/?vendor_code=KrscroN022_06А")</f>
        <v>https://ra-matina.ru/?vendor_code=KrscroN022_06А</v>
      </c>
      <c r="D213" s="15" t="s">
        <v>18</v>
      </c>
      <c r="E213" s="19" t="s">
        <v>752</v>
      </c>
      <c r="F213" s="15" t="s">
        <v>15</v>
      </c>
      <c r="G213" s="21">
        <v>37000.0</v>
      </c>
    </row>
    <row r="214" ht="13.5" customHeight="1">
      <c r="A214" s="51" t="s">
        <v>1173</v>
      </c>
      <c r="B214" s="52" t="s">
        <v>1174</v>
      </c>
      <c r="C214" s="17" t="str">
        <f>HYPERLINK("https://ra-matina.ru/?vendor_code=art_681")</f>
        <v>https://ra-matina.ru/?vendor_code=art_681</v>
      </c>
      <c r="D214" s="53" t="s">
        <v>770</v>
      </c>
      <c r="E214" s="19" t="s">
        <v>752</v>
      </c>
      <c r="F214" s="15" t="s">
        <v>15</v>
      </c>
      <c r="G214" s="54" t="s">
        <v>771</v>
      </c>
    </row>
    <row r="215" ht="13.5" customHeight="1">
      <c r="A215" s="51" t="s">
        <v>1175</v>
      </c>
      <c r="B215" s="52" t="s">
        <v>1176</v>
      </c>
      <c r="C215" s="17" t="str">
        <f>HYPERLINK("https://ra-matina.ru/?vendor_code=art_689")</f>
        <v>https://ra-matina.ru/?vendor_code=art_689</v>
      </c>
      <c r="D215" s="53" t="s">
        <v>21</v>
      </c>
      <c r="E215" s="19" t="s">
        <v>763</v>
      </c>
      <c r="F215" s="15" t="s">
        <v>15</v>
      </c>
      <c r="G215" s="54" t="s">
        <v>89</v>
      </c>
    </row>
    <row r="216" ht="13.5" customHeight="1">
      <c r="A216" s="15" t="s">
        <v>1177</v>
      </c>
      <c r="B216" s="52" t="s">
        <v>1178</v>
      </c>
      <c r="C216" s="17" t="str">
        <f>HYPERLINK("https://ra-matina.ru/?vendor_code=KrscroN022_02А")</f>
        <v>https://ra-matina.ru/?vendor_code=KrscroN022_02А</v>
      </c>
      <c r="D216" s="15" t="s">
        <v>898</v>
      </c>
      <c r="E216" s="19" t="s">
        <v>752</v>
      </c>
      <c r="F216" s="15" t="s">
        <v>15</v>
      </c>
      <c r="G216" s="21">
        <v>32000.0</v>
      </c>
    </row>
    <row r="217" ht="13.5" customHeight="1">
      <c r="A217" s="51" t="s">
        <v>1179</v>
      </c>
      <c r="B217" s="52" t="s">
        <v>1180</v>
      </c>
      <c r="C217" s="17" t="str">
        <f>HYPERLINK("https://ra-matina.ru/?vendor_code=art_706")</f>
        <v>https://ra-matina.ru/?vendor_code=art_706</v>
      </c>
      <c r="D217" s="53" t="s">
        <v>21</v>
      </c>
      <c r="E217" s="19" t="s">
        <v>763</v>
      </c>
      <c r="F217" s="15" t="s">
        <v>15</v>
      </c>
      <c r="G217" s="54" t="s">
        <v>110</v>
      </c>
    </row>
    <row r="218" ht="13.5" customHeight="1">
      <c r="A218" s="15" t="s">
        <v>1181</v>
      </c>
      <c r="B218" s="52" t="s">
        <v>1182</v>
      </c>
      <c r="C218" s="17" t="str">
        <f>HYPERLINK("https://ra-matina.ru/?vendor_code=KrscroN022_07А")</f>
        <v>https://ra-matina.ru/?vendor_code=KrscroN022_07А</v>
      </c>
      <c r="D218" s="15" t="s">
        <v>13</v>
      </c>
      <c r="E218" s="19" t="s">
        <v>752</v>
      </c>
      <c r="F218" s="15" t="s">
        <v>15</v>
      </c>
      <c r="G218" s="21">
        <v>30000.0</v>
      </c>
    </row>
    <row r="219" ht="13.5" customHeight="1">
      <c r="A219" s="51" t="s">
        <v>1183</v>
      </c>
      <c r="B219" s="52" t="s">
        <v>1184</v>
      </c>
      <c r="C219" s="17" t="str">
        <f>HYPERLINK("https://ra-matina.ru/?vendor_code=art_412")</f>
        <v>https://ra-matina.ru/?vendor_code=art_412</v>
      </c>
      <c r="D219" s="53" t="s">
        <v>43</v>
      </c>
      <c r="E219" s="19" t="s">
        <v>752</v>
      </c>
      <c r="F219" s="15" t="s">
        <v>15</v>
      </c>
      <c r="G219" s="54" t="s">
        <v>776</v>
      </c>
    </row>
    <row r="220" ht="13.5" customHeight="1">
      <c r="A220" s="15" t="s">
        <v>1185</v>
      </c>
      <c r="B220" s="52" t="s">
        <v>1186</v>
      </c>
      <c r="C220" s="17" t="str">
        <f>HYPERLINK("https://ra-matina.ru/?vendor_code=KrscroN028А0")</f>
        <v>https://ra-matina.ru/?vendor_code=KrscroN028А0</v>
      </c>
      <c r="D220" s="15" t="s">
        <v>28</v>
      </c>
      <c r="E220" s="19" t="s">
        <v>763</v>
      </c>
      <c r="F220" s="15" t="s">
        <v>15</v>
      </c>
      <c r="G220" s="21">
        <v>27000.0</v>
      </c>
    </row>
    <row r="221" ht="13.5" customHeight="1">
      <c r="A221" s="53" t="s">
        <v>1187</v>
      </c>
      <c r="B221" s="52" t="s">
        <v>1188</v>
      </c>
      <c r="C221" s="17" t="str">
        <f>HYPERLINK("https://ra-matina.ru/?vendor_code=art_342")</f>
        <v>https://ra-matina.ru/?vendor_code=art_342</v>
      </c>
      <c r="D221" s="53" t="s">
        <v>13</v>
      </c>
      <c r="E221" s="19" t="s">
        <v>752</v>
      </c>
      <c r="F221" s="15" t="s">
        <v>15</v>
      </c>
      <c r="G221" s="54" t="s">
        <v>176</v>
      </c>
    </row>
    <row r="222" ht="13.5" customHeight="1">
      <c r="A222" s="51" t="s">
        <v>1189</v>
      </c>
      <c r="B222" s="52" t="s">
        <v>1190</v>
      </c>
      <c r="C222" s="17" t="str">
        <f>HYPERLINK("https://ra-matina.ru/?vendor_code=art_343")</f>
        <v>https://ra-matina.ru/?vendor_code=art_343</v>
      </c>
      <c r="D222" s="53" t="s">
        <v>21</v>
      </c>
      <c r="E222" s="19" t="s">
        <v>763</v>
      </c>
      <c r="F222" s="15" t="s">
        <v>15</v>
      </c>
      <c r="G222" s="54" t="s">
        <v>347</v>
      </c>
    </row>
    <row r="223" ht="13.5" customHeight="1">
      <c r="A223" s="51" t="s">
        <v>1191</v>
      </c>
      <c r="B223" s="52" t="s">
        <v>1192</v>
      </c>
      <c r="C223" s="17" t="str">
        <f>HYPERLINK("https://ra-matina.ru/?vendor_code=pa_108")</f>
        <v>https://ra-matina.ru/?vendor_code=pa_108</v>
      </c>
      <c r="D223" s="53" t="s">
        <v>898</v>
      </c>
      <c r="E223" s="19" t="s">
        <v>752</v>
      </c>
      <c r="F223" s="15" t="s">
        <v>15</v>
      </c>
      <c r="G223" s="54" t="s">
        <v>854</v>
      </c>
    </row>
    <row r="224" ht="13.5" customHeight="1">
      <c r="A224" s="15" t="s">
        <v>1193</v>
      </c>
      <c r="B224" s="52" t="s">
        <v>1194</v>
      </c>
      <c r="C224" s="17" t="str">
        <f>HYPERLINK("https://ra-matina.ru/?vendor_code=KrscroN023А1")</f>
        <v>https://ra-matina.ru/?vendor_code=KrscroN023А1</v>
      </c>
      <c r="D224" s="15" t="s">
        <v>43</v>
      </c>
      <c r="E224" s="19" t="s">
        <v>752</v>
      </c>
      <c r="F224" s="15" t="s">
        <v>15</v>
      </c>
      <c r="G224" s="21">
        <v>29500.0</v>
      </c>
    </row>
    <row r="225" ht="13.5" customHeight="1">
      <c r="A225" s="51" t="s">
        <v>1195</v>
      </c>
      <c r="B225" s="52" t="s">
        <v>1196</v>
      </c>
      <c r="C225" s="17" t="str">
        <f>HYPERLINK("https://ra-matina.ru/?vendor_code=pa_422")</f>
        <v>https://ra-matina.ru/?vendor_code=pa_422</v>
      </c>
      <c r="D225" s="53" t="s">
        <v>21</v>
      </c>
      <c r="E225" s="19" t="s">
        <v>763</v>
      </c>
      <c r="F225" s="15" t="s">
        <v>15</v>
      </c>
      <c r="G225" s="54" t="s">
        <v>110</v>
      </c>
    </row>
    <row r="226" ht="13.5" customHeight="1">
      <c r="A226" s="53" t="s">
        <v>1197</v>
      </c>
      <c r="B226" s="52" t="s">
        <v>1198</v>
      </c>
      <c r="C226" s="17" t="str">
        <f>HYPERLINK("https://ra-matina.ru/?vendor_code=pa_421")</f>
        <v>https://ra-matina.ru/?vendor_code=pa_421</v>
      </c>
      <c r="D226" s="53" t="s">
        <v>760</v>
      </c>
      <c r="E226" s="19" t="s">
        <v>752</v>
      </c>
      <c r="F226" s="15" t="s">
        <v>15</v>
      </c>
      <c r="G226" s="54" t="s">
        <v>588</v>
      </c>
    </row>
    <row r="227" ht="13.5" customHeight="1">
      <c r="A227" s="15" t="s">
        <v>1199</v>
      </c>
      <c r="B227" s="52" t="s">
        <v>1200</v>
      </c>
      <c r="C227" s="17" t="str">
        <f>HYPERLINK("https://ra-matina.ru/?vendor_code=KrscroN028А")</f>
        <v>https://ra-matina.ru/?vendor_code=KrscroN028А</v>
      </c>
      <c r="D227" s="15" t="s">
        <v>28</v>
      </c>
      <c r="E227" s="19" t="s">
        <v>752</v>
      </c>
      <c r="F227" s="15" t="s">
        <v>15</v>
      </c>
      <c r="G227" s="21">
        <v>27000.0</v>
      </c>
    </row>
    <row r="228" ht="13.5" customHeight="1">
      <c r="A228" s="15" t="s">
        <v>1201</v>
      </c>
      <c r="B228" s="52" t="s">
        <v>1202</v>
      </c>
      <c r="C228" s="17" t="str">
        <f>HYPERLINK("https://ra-matina.ru/?vendor_code=KrscroN021Б")</f>
        <v>https://ra-matina.ru/?vendor_code=KrscroN021Б</v>
      </c>
      <c r="D228" s="15" t="s">
        <v>21</v>
      </c>
      <c r="E228" s="19" t="s">
        <v>763</v>
      </c>
      <c r="F228" s="15" t="s">
        <v>15</v>
      </c>
      <c r="G228" s="21">
        <v>25000.0</v>
      </c>
    </row>
    <row r="229" ht="13.5" customHeight="1">
      <c r="A229" s="15" t="s">
        <v>1203</v>
      </c>
      <c r="B229" s="52" t="s">
        <v>1204</v>
      </c>
      <c r="C229" s="17" t="str">
        <f>HYPERLINK("https://ra-matina.ru/?vendor_code=KrscroN022_А1")</f>
        <v>https://ra-matina.ru/?vendor_code=KrscroN022_А1</v>
      </c>
      <c r="D229" s="15" t="s">
        <v>760</v>
      </c>
      <c r="E229" s="19" t="s">
        <v>752</v>
      </c>
      <c r="F229" s="15" t="s">
        <v>15</v>
      </c>
      <c r="G229" s="21">
        <v>30000.0</v>
      </c>
    </row>
    <row r="230" ht="13.5" customHeight="1">
      <c r="A230" s="15" t="s">
        <v>1205</v>
      </c>
      <c r="B230" s="52" t="s">
        <v>1204</v>
      </c>
      <c r="C230" s="17" t="str">
        <f>HYPERLINK("https://ra-matina.ru/?vendor_code=KrscroN022_Б1")</f>
        <v>https://ra-matina.ru/?vendor_code=KrscroN022_Б1</v>
      </c>
      <c r="D230" s="15" t="s">
        <v>756</v>
      </c>
      <c r="E230" s="19" t="s">
        <v>752</v>
      </c>
      <c r="F230" s="15" t="s">
        <v>15</v>
      </c>
      <c r="G230" s="21">
        <v>30000.0</v>
      </c>
    </row>
    <row r="231" ht="13.5" customHeight="1">
      <c r="A231" s="51" t="s">
        <v>1206</v>
      </c>
      <c r="B231" s="52" t="s">
        <v>1207</v>
      </c>
      <c r="C231" s="17" t="str">
        <f>HYPERLINK("https://ra-matina.ru/?vendor_code=UM_259")</f>
        <v>https://ra-matina.ru/?vendor_code=UM_259</v>
      </c>
      <c r="D231" s="53" t="s">
        <v>43</v>
      </c>
      <c r="E231" s="19" t="s">
        <v>752</v>
      </c>
      <c r="F231" s="15" t="s">
        <v>15</v>
      </c>
      <c r="G231" s="54" t="s">
        <v>895</v>
      </c>
    </row>
    <row r="232" ht="13.5" customHeight="1">
      <c r="A232" s="15" t="s">
        <v>1208</v>
      </c>
      <c r="B232" s="52" t="s">
        <v>1209</v>
      </c>
      <c r="C232" s="17" t="str">
        <f>HYPERLINK("https://ra-matina.ru/?vendor_code=KrscroN029А")</f>
        <v>https://ra-matina.ru/?vendor_code=KrscroN029А</v>
      </c>
      <c r="D232" s="15" t="s">
        <v>18</v>
      </c>
      <c r="E232" s="19" t="s">
        <v>752</v>
      </c>
      <c r="F232" s="15" t="s">
        <v>15</v>
      </c>
      <c r="G232" s="21">
        <v>30000.0</v>
      </c>
    </row>
    <row r="233" ht="13.5" customHeight="1">
      <c r="A233" s="15" t="s">
        <v>1210</v>
      </c>
      <c r="B233" s="52" t="s">
        <v>1209</v>
      </c>
      <c r="C233" s="17" t="str">
        <f>HYPERLINK("https://ra-matina.ru/?vendor_code=KrscroN029Б")</f>
        <v>https://ra-matina.ru/?vendor_code=KrscroN029Б</v>
      </c>
      <c r="D233" s="15" t="s">
        <v>21</v>
      </c>
      <c r="E233" s="19" t="s">
        <v>763</v>
      </c>
      <c r="F233" s="15" t="s">
        <v>15</v>
      </c>
      <c r="G233" s="21">
        <v>28500.0</v>
      </c>
    </row>
    <row r="234" ht="13.5" customHeight="1">
      <c r="A234" s="15" t="s">
        <v>1211</v>
      </c>
      <c r="B234" s="52" t="s">
        <v>1212</v>
      </c>
      <c r="C234" s="17" t="str">
        <f>HYPERLINK("https://ra-matina.ru/?vendor_code=KrscroN030А")</f>
        <v>https://ra-matina.ru/?vendor_code=KrscroN030А</v>
      </c>
      <c r="D234" s="15" t="s">
        <v>28</v>
      </c>
      <c r="E234" s="19" t="s">
        <v>763</v>
      </c>
      <c r="F234" s="15" t="s">
        <v>15</v>
      </c>
      <c r="G234" s="21">
        <v>29500.0</v>
      </c>
    </row>
    <row r="235" ht="13.5" customHeight="1">
      <c r="A235" s="51" t="s">
        <v>1213</v>
      </c>
      <c r="B235" s="52" t="s">
        <v>1214</v>
      </c>
      <c r="C235" s="17" t="str">
        <f>HYPERLINK("https://ra-matina.ru/?vendor_code=pa_388")</f>
        <v>https://ra-matina.ru/?vendor_code=pa_388</v>
      </c>
      <c r="D235" s="53" t="s">
        <v>21</v>
      </c>
      <c r="E235" s="19" t="s">
        <v>763</v>
      </c>
      <c r="F235" s="15" t="s">
        <v>15</v>
      </c>
      <c r="G235" s="54" t="s">
        <v>1215</v>
      </c>
    </row>
    <row r="236" ht="13.5" customHeight="1">
      <c r="A236" s="51" t="s">
        <v>1216</v>
      </c>
      <c r="B236" s="52" t="s">
        <v>1217</v>
      </c>
      <c r="C236" s="17" t="str">
        <f>HYPERLINK("https://ra-matina.ru/?vendor_code=UM_362")</f>
        <v>https://ra-matina.ru/?vendor_code=UM_362</v>
      </c>
      <c r="D236" s="18" t="s">
        <v>21</v>
      </c>
      <c r="E236" s="19" t="s">
        <v>763</v>
      </c>
      <c r="F236" s="15" t="s">
        <v>15</v>
      </c>
      <c r="G236" s="56" t="s">
        <v>89</v>
      </c>
    </row>
    <row r="237" ht="13.5" customHeight="1">
      <c r="A237" s="55" t="s">
        <v>1218</v>
      </c>
      <c r="B237" s="52" t="s">
        <v>1219</v>
      </c>
      <c r="C237" s="17" t="str">
        <f>HYPERLINK("https://ra-matina.ru/?vendor_code=KRD079B1GGSC")</f>
        <v>https://ra-matina.ru/?vendor_code=KRD079B1GGSC</v>
      </c>
      <c r="D237" s="53" t="s">
        <v>21</v>
      </c>
      <c r="E237" s="19" t="s">
        <v>763</v>
      </c>
      <c r="F237" s="15" t="s">
        <v>15</v>
      </c>
      <c r="G237" s="54" t="s">
        <v>757</v>
      </c>
    </row>
    <row r="238" ht="13.5" customHeight="1">
      <c r="A238" s="55" t="s">
        <v>1220</v>
      </c>
      <c r="B238" s="52" t="s">
        <v>1221</v>
      </c>
      <c r="C238" s="17" t="str">
        <f>HYPERLINK("https://ra-matina.ru/?vendor_code=KRD077B1GGSC")</f>
        <v>https://ra-matina.ru/?vendor_code=KRD077B1GGSC</v>
      </c>
      <c r="D238" s="53" t="s">
        <v>31</v>
      </c>
      <c r="E238" s="19" t="s">
        <v>752</v>
      </c>
      <c r="F238" s="15" t="s">
        <v>15</v>
      </c>
      <c r="G238" s="54" t="s">
        <v>757</v>
      </c>
    </row>
    <row r="239" ht="13.5" customHeight="1">
      <c r="A239" s="55" t="s">
        <v>1222</v>
      </c>
      <c r="B239" s="52" t="s">
        <v>1223</v>
      </c>
      <c r="C239" s="17" t="str">
        <f>HYPERLINK("https://ra-matina.ru/?vendor_code=KRD078B5GGSC")</f>
        <v>https://ra-matina.ru/?vendor_code=KRD078B5GGSC</v>
      </c>
      <c r="D239" s="53" t="s">
        <v>770</v>
      </c>
      <c r="E239" s="19" t="s">
        <v>752</v>
      </c>
      <c r="F239" s="15" t="s">
        <v>15</v>
      </c>
      <c r="G239" s="54" t="s">
        <v>757</v>
      </c>
    </row>
    <row r="240" ht="13.5" customHeight="1">
      <c r="A240" s="55" t="s">
        <v>1224</v>
      </c>
      <c r="B240" s="52" t="s">
        <v>1225</v>
      </c>
      <c r="C240" s="17" t="str">
        <f>HYPERLINK("https://ra-matina.ru/?vendor_code=KRD005B1GGSC")</f>
        <v>https://ra-matina.ru/?vendor_code=KRD005B1GGSC</v>
      </c>
      <c r="D240" s="53" t="s">
        <v>21</v>
      </c>
      <c r="E240" s="19" t="s">
        <v>763</v>
      </c>
      <c r="F240" s="15" t="s">
        <v>15</v>
      </c>
      <c r="G240" s="54" t="s">
        <v>56</v>
      </c>
    </row>
    <row r="241" ht="13.5" customHeight="1">
      <c r="A241" s="15" t="s">
        <v>1226</v>
      </c>
      <c r="B241" s="52" t="s">
        <v>1227</v>
      </c>
      <c r="C241" s="17" t="str">
        <f>HYPERLINK("https://ra-matina.ru/?vendor_code=KrscroN029_1А")</f>
        <v>https://ra-matina.ru/?vendor_code=KrscroN029_1А</v>
      </c>
      <c r="D241" s="15" t="s">
        <v>43</v>
      </c>
      <c r="E241" s="19" t="s">
        <v>752</v>
      </c>
      <c r="F241" s="15" t="s">
        <v>15</v>
      </c>
      <c r="G241" s="21">
        <v>30000.0</v>
      </c>
    </row>
    <row r="242" ht="13.5" customHeight="1">
      <c r="A242" s="15" t="s">
        <v>1228</v>
      </c>
      <c r="B242" s="52" t="s">
        <v>1229</v>
      </c>
      <c r="C242" s="17" t="str">
        <f>HYPERLINK("https://ra-matina.ru/?vendor_code=KrscroN029_1Б")</f>
        <v>https://ra-matina.ru/?vendor_code=KrscroN029_1Б</v>
      </c>
      <c r="D242" s="15" t="s">
        <v>31</v>
      </c>
      <c r="E242" s="19" t="s">
        <v>752</v>
      </c>
      <c r="F242" s="15" t="s">
        <v>15</v>
      </c>
      <c r="G242" s="21">
        <v>30000.0</v>
      </c>
    </row>
    <row r="243" ht="13.5" customHeight="1">
      <c r="A243" s="53" t="s">
        <v>1230</v>
      </c>
      <c r="B243" s="52" t="s">
        <v>1231</v>
      </c>
      <c r="C243" s="17" t="str">
        <f>HYPERLINK("https://ra-matina.ru/?vendor_code=pa_381")</f>
        <v>https://ra-matina.ru/?vendor_code=pa_381</v>
      </c>
      <c r="D243" s="53" t="s">
        <v>13</v>
      </c>
      <c r="E243" s="19" t="s">
        <v>752</v>
      </c>
      <c r="F243" s="15" t="s">
        <v>15</v>
      </c>
      <c r="G243" s="54" t="s">
        <v>110</v>
      </c>
    </row>
    <row r="244" ht="13.5" customHeight="1">
      <c r="A244" s="51" t="s">
        <v>1232</v>
      </c>
      <c r="B244" s="52" t="s">
        <v>1233</v>
      </c>
      <c r="C244" s="17" t="str">
        <f>HYPERLINK("https://ra-matina.ru/?vendor_code=pa_382")</f>
        <v>https://ra-matina.ru/?vendor_code=pa_382</v>
      </c>
      <c r="D244" s="53" t="s">
        <v>21</v>
      </c>
      <c r="E244" s="19" t="s">
        <v>763</v>
      </c>
      <c r="F244" s="15" t="s">
        <v>15</v>
      </c>
      <c r="G244" s="54" t="s">
        <v>280</v>
      </c>
    </row>
    <row r="245" ht="13.5" customHeight="1">
      <c r="A245" s="51" t="s">
        <v>1234</v>
      </c>
      <c r="B245" s="52" t="s">
        <v>1235</v>
      </c>
      <c r="C245" s="17" t="str">
        <f>HYPERLINK("https://ra-matina.ru/?vendor_code=pa_017")</f>
        <v>https://ra-matina.ru/?vendor_code=pa_017</v>
      </c>
      <c r="D245" s="53" t="s">
        <v>13</v>
      </c>
      <c r="E245" s="19" t="s">
        <v>752</v>
      </c>
      <c r="F245" s="15" t="s">
        <v>15</v>
      </c>
      <c r="G245" s="54" t="s">
        <v>110</v>
      </c>
    </row>
    <row r="246" ht="13.5" customHeight="1">
      <c r="A246" s="51" t="s">
        <v>1236</v>
      </c>
      <c r="B246" s="52" t="s">
        <v>1237</v>
      </c>
      <c r="C246" s="17" t="str">
        <f>HYPERLINK("https://ra-matina.ru/?vendor_code=pa_018")</f>
        <v>https://ra-matina.ru/?vendor_code=pa_018</v>
      </c>
      <c r="D246" s="53" t="s">
        <v>1238</v>
      </c>
      <c r="E246" s="19" t="s">
        <v>752</v>
      </c>
      <c r="F246" s="15" t="s">
        <v>15</v>
      </c>
      <c r="G246" s="54" t="s">
        <v>753</v>
      </c>
    </row>
    <row r="247" ht="13.5" customHeight="1">
      <c r="A247" s="15" t="s">
        <v>1239</v>
      </c>
      <c r="B247" s="52" t="s">
        <v>1240</v>
      </c>
      <c r="C247" s="17" t="str">
        <f>HYPERLINK("https://ra-matina.ru/?vendor_code=KrscroN029_02А")</f>
        <v>https://ra-matina.ru/?vendor_code=KrscroN029_02А</v>
      </c>
      <c r="D247" s="15" t="s">
        <v>18</v>
      </c>
      <c r="E247" s="19" t="s">
        <v>752</v>
      </c>
      <c r="F247" s="15" t="s">
        <v>15</v>
      </c>
      <c r="G247" s="21">
        <v>30000.0</v>
      </c>
    </row>
    <row r="248" ht="13.5" customHeight="1">
      <c r="A248" s="15" t="s">
        <v>1241</v>
      </c>
      <c r="B248" s="52" t="s">
        <v>1242</v>
      </c>
      <c r="C248" s="17" t="str">
        <f>HYPERLINK("https://ra-matina.ru/?vendor_code=KrscroN029_01А")</f>
        <v>https://ra-matina.ru/?vendor_code=KrscroN029_01А</v>
      </c>
      <c r="D248" s="15" t="s">
        <v>43</v>
      </c>
      <c r="E248" s="19" t="s">
        <v>752</v>
      </c>
      <c r="F248" s="15" t="s">
        <v>15</v>
      </c>
      <c r="G248" s="21">
        <v>30000.0</v>
      </c>
    </row>
    <row r="249" ht="13.5" customHeight="1">
      <c r="A249" s="51" t="s">
        <v>1243</v>
      </c>
      <c r="B249" s="52" t="s">
        <v>1244</v>
      </c>
      <c r="C249" s="17" t="str">
        <f>HYPERLINK("https://ra-matina.ru/?vendor_code=pa_414")</f>
        <v>https://ra-matina.ru/?vendor_code=pa_414</v>
      </c>
      <c r="D249" s="18" t="s">
        <v>21</v>
      </c>
      <c r="E249" s="19" t="s">
        <v>763</v>
      </c>
      <c r="F249" s="15" t="s">
        <v>15</v>
      </c>
      <c r="G249" s="56" t="s">
        <v>89</v>
      </c>
    </row>
    <row r="250" ht="13.5" customHeight="1">
      <c r="A250" s="53" t="s">
        <v>1245</v>
      </c>
      <c r="B250" s="52" t="s">
        <v>1246</v>
      </c>
      <c r="C250" s="17" t="str">
        <f>HYPERLINK("https://ra-matina.ru/?vendor_code=pa_103")</f>
        <v>https://ra-matina.ru/?vendor_code=pa_103</v>
      </c>
      <c r="D250" s="53" t="s">
        <v>13</v>
      </c>
      <c r="E250" s="19" t="s">
        <v>752</v>
      </c>
      <c r="F250" s="15" t="s">
        <v>15</v>
      </c>
      <c r="G250" s="54" t="s">
        <v>280</v>
      </c>
    </row>
    <row r="251" ht="13.5" customHeight="1">
      <c r="A251" s="51" t="s">
        <v>1247</v>
      </c>
      <c r="B251" s="52" t="s">
        <v>1248</v>
      </c>
      <c r="C251" s="17" t="str">
        <f>HYPERLINK("https://ra-matina.ru/?vendor_code=pa_104")</f>
        <v>https://ra-matina.ru/?vendor_code=pa_104</v>
      </c>
      <c r="D251" s="53" t="s">
        <v>21</v>
      </c>
      <c r="E251" s="19" t="s">
        <v>763</v>
      </c>
      <c r="F251" s="15" t="s">
        <v>15</v>
      </c>
      <c r="G251" s="54" t="s">
        <v>939</v>
      </c>
    </row>
    <row r="252" ht="13.5" customHeight="1">
      <c r="A252" s="55" t="s">
        <v>1249</v>
      </c>
      <c r="B252" s="52" t="s">
        <v>1250</v>
      </c>
      <c r="C252" s="17" t="str">
        <f>HYPERLINK("https://ra-matina.ru/?vendor_code=KRD081A5GGSC")</f>
        <v>https://ra-matina.ru/?vendor_code=KRD081A5GGSC</v>
      </c>
      <c r="D252" s="53" t="s">
        <v>760</v>
      </c>
      <c r="E252" s="19" t="s">
        <v>752</v>
      </c>
      <c r="F252" s="15" t="s">
        <v>15</v>
      </c>
      <c r="G252" s="54" t="s">
        <v>845</v>
      </c>
    </row>
    <row r="253" ht="13.5" customHeight="1">
      <c r="A253" s="51" t="s">
        <v>1251</v>
      </c>
      <c r="B253" s="52" t="s">
        <v>1252</v>
      </c>
      <c r="C253" s="17" t="str">
        <f>HYPERLINK("https://ra-matina.ru/?vendor_code=pa_149")</f>
        <v>https://ra-matina.ru/?vendor_code=pa_149</v>
      </c>
      <c r="D253" s="53" t="s">
        <v>13</v>
      </c>
      <c r="E253" s="19" t="s">
        <v>752</v>
      </c>
      <c r="F253" s="15" t="s">
        <v>15</v>
      </c>
      <c r="G253" s="54" t="s">
        <v>93</v>
      </c>
    </row>
    <row r="254" ht="13.5" customHeight="1">
      <c r="A254" s="51" t="s">
        <v>1253</v>
      </c>
      <c r="B254" s="52" t="s">
        <v>1254</v>
      </c>
      <c r="C254" s="17" t="str">
        <f>HYPERLINK("https://ra-matina.ru/?vendor_code=UM_199")</f>
        <v>https://ra-matina.ru/?vendor_code=UM_199</v>
      </c>
      <c r="D254" s="53" t="s">
        <v>760</v>
      </c>
      <c r="E254" s="19" t="s">
        <v>752</v>
      </c>
      <c r="F254" s="15" t="s">
        <v>15</v>
      </c>
      <c r="G254" s="54" t="s">
        <v>89</v>
      </c>
    </row>
    <row r="255" ht="13.5" customHeight="1">
      <c r="A255" s="53" t="s">
        <v>1255</v>
      </c>
      <c r="B255" s="52" t="s">
        <v>1256</v>
      </c>
      <c r="C255" s="17" t="str">
        <f>HYPERLINK("https://ra-matina.ru/?vendor_code=art_662")</f>
        <v>https://ra-matina.ru/?vendor_code=art_662</v>
      </c>
      <c r="D255" s="53" t="s">
        <v>756</v>
      </c>
      <c r="E255" s="19" t="s">
        <v>752</v>
      </c>
      <c r="F255" s="15" t="s">
        <v>15</v>
      </c>
      <c r="G255" s="54" t="s">
        <v>877</v>
      </c>
    </row>
    <row r="256" ht="13.5" customHeight="1">
      <c r="A256" s="55" t="s">
        <v>1257</v>
      </c>
      <c r="B256" s="52" t="s">
        <v>1258</v>
      </c>
      <c r="C256" s="17" t="str">
        <f>HYPERLINK("https://ra-matina.ru/?vendor_code=KRD083A1GGSC")</f>
        <v>https://ra-matina.ru/?vendor_code=KRD083A1GGSC</v>
      </c>
      <c r="D256" s="53" t="s">
        <v>43</v>
      </c>
      <c r="E256" s="19" t="s">
        <v>752</v>
      </c>
      <c r="F256" s="15" t="s">
        <v>15</v>
      </c>
      <c r="G256" s="54" t="s">
        <v>845</v>
      </c>
    </row>
    <row r="257" ht="13.5" customHeight="1">
      <c r="A257" s="55" t="s">
        <v>1259</v>
      </c>
      <c r="B257" s="52" t="s">
        <v>1260</v>
      </c>
      <c r="C257" s="17" t="str">
        <f>HYPERLINK("https://ra-matina.ru/?vendor_code=KRD087A5GGSC")</f>
        <v>https://ra-matina.ru/?vendor_code=KRD087A5GGSC</v>
      </c>
      <c r="D257" s="53" t="s">
        <v>760</v>
      </c>
      <c r="E257" s="19" t="s">
        <v>752</v>
      </c>
      <c r="F257" s="15" t="s">
        <v>15</v>
      </c>
      <c r="G257" s="54" t="s">
        <v>280</v>
      </c>
    </row>
    <row r="258" ht="13.5" customHeight="1">
      <c r="A258" s="55" t="s">
        <v>1261</v>
      </c>
      <c r="B258" s="52" t="s">
        <v>1262</v>
      </c>
      <c r="C258" s="17" t="str">
        <f>HYPERLINK("https://ra-matina.ru/?vendor_code=KRD088A4GGSC")</f>
        <v>https://ra-matina.ru/?vendor_code=KRD088A4GGSC</v>
      </c>
      <c r="D258" s="53" t="s">
        <v>898</v>
      </c>
      <c r="E258" s="19" t="s">
        <v>752</v>
      </c>
      <c r="F258" s="15" t="s">
        <v>15</v>
      </c>
      <c r="G258" s="54" t="s">
        <v>280</v>
      </c>
    </row>
    <row r="259" ht="13.5" customHeight="1">
      <c r="A259" s="15" t="s">
        <v>1263</v>
      </c>
      <c r="B259" s="52" t="s">
        <v>1264</v>
      </c>
      <c r="C259" s="17" t="str">
        <f>HYPERLINK("https://ra-matina.ru/?vendor_code=KrscroN030_2А")</f>
        <v>https://ra-matina.ru/?vendor_code=KrscroN030_2А</v>
      </c>
      <c r="D259" s="15" t="s">
        <v>13</v>
      </c>
      <c r="E259" s="19" t="s">
        <v>752</v>
      </c>
      <c r="F259" s="15" t="s">
        <v>15</v>
      </c>
      <c r="G259" s="21">
        <v>35000.0</v>
      </c>
    </row>
    <row r="260" ht="13.5" customHeight="1">
      <c r="A260" s="15" t="s">
        <v>1265</v>
      </c>
      <c r="B260" s="52" t="s">
        <v>1266</v>
      </c>
      <c r="C260" s="17" t="str">
        <f>HYPERLINK("https://ra-matina.ru/?vendor_code=KrscroN030_3А")</f>
        <v>https://ra-matina.ru/?vendor_code=KrscroN030_3А</v>
      </c>
      <c r="D260" s="15" t="s">
        <v>43</v>
      </c>
      <c r="E260" s="19" t="s">
        <v>752</v>
      </c>
      <c r="F260" s="15" t="s">
        <v>15</v>
      </c>
      <c r="G260" s="21">
        <v>30000.0</v>
      </c>
    </row>
    <row r="261" ht="13.5" customHeight="1">
      <c r="A261" s="55" t="s">
        <v>1267</v>
      </c>
      <c r="B261" s="52" t="s">
        <v>1268</v>
      </c>
      <c r="C261" s="17" t="str">
        <f>HYPERLINK("https://ra-matina.ru/?vendor_code=KRD089A1GGSC")</f>
        <v>https://ra-matina.ru/?vendor_code=KRD089A1GGSC</v>
      </c>
      <c r="D261" s="53" t="s">
        <v>43</v>
      </c>
      <c r="E261" s="19" t="s">
        <v>752</v>
      </c>
      <c r="F261" s="15" t="s">
        <v>15</v>
      </c>
      <c r="G261" s="54" t="s">
        <v>280</v>
      </c>
    </row>
    <row r="262" ht="13.5" customHeight="1">
      <c r="A262" s="55" t="s">
        <v>1269</v>
      </c>
      <c r="B262" s="52" t="s">
        <v>1270</v>
      </c>
      <c r="C262" s="17" t="str">
        <f>HYPERLINK("https://ra-matina.ru/?vendor_code=KRD085B1GGSC")</f>
        <v>https://ra-matina.ru/?vendor_code=KRD085B1GGSC</v>
      </c>
      <c r="D262" s="53" t="s">
        <v>21</v>
      </c>
      <c r="E262" s="19" t="s">
        <v>763</v>
      </c>
      <c r="F262" s="15" t="s">
        <v>15</v>
      </c>
      <c r="G262" s="54" t="s">
        <v>757</v>
      </c>
    </row>
    <row r="263" ht="13.5" customHeight="1">
      <c r="A263" s="55" t="s">
        <v>1271</v>
      </c>
      <c r="B263" s="52" t="s">
        <v>1272</v>
      </c>
      <c r="C263" s="17" t="str">
        <f>HYPERLINK("https://ra-matina.ru/?vendor_code=KRD086A5GGSC")</f>
        <v>https://ra-matina.ru/?vendor_code=KRD086A5GGSC</v>
      </c>
      <c r="D263" s="53" t="s">
        <v>760</v>
      </c>
      <c r="E263" s="19" t="s">
        <v>752</v>
      </c>
      <c r="F263" s="15" t="s">
        <v>15</v>
      </c>
      <c r="G263" s="54" t="s">
        <v>845</v>
      </c>
    </row>
    <row r="264" ht="13.5" customHeight="1">
      <c r="A264" s="55" t="s">
        <v>1273</v>
      </c>
      <c r="B264" s="52" t="s">
        <v>1274</v>
      </c>
      <c r="C264" s="17" t="str">
        <f>HYPERLINK("https://ra-matina.ru/?vendor_code=KRD082B1GGSC")</f>
        <v>https://ra-matina.ru/?vendor_code=KRD082B1GGSC</v>
      </c>
      <c r="D264" s="53" t="s">
        <v>31</v>
      </c>
      <c r="E264" s="19" t="s">
        <v>752</v>
      </c>
      <c r="F264" s="15" t="s">
        <v>15</v>
      </c>
      <c r="G264" s="54" t="s">
        <v>958</v>
      </c>
    </row>
    <row r="265" ht="13.5" customHeight="1">
      <c r="A265" s="53" t="s">
        <v>1275</v>
      </c>
      <c r="B265" s="52" t="s">
        <v>1276</v>
      </c>
      <c r="C265" s="17" t="str">
        <f>HYPERLINK("https://ra-matina.ru/?vendor_code=pa_211")</f>
        <v>https://ra-matina.ru/?vendor_code=pa_211</v>
      </c>
      <c r="D265" s="53" t="s">
        <v>760</v>
      </c>
      <c r="E265" s="19" t="s">
        <v>752</v>
      </c>
      <c r="F265" s="15" t="s">
        <v>15</v>
      </c>
      <c r="G265" s="54" t="s">
        <v>939</v>
      </c>
    </row>
    <row r="266" ht="13.5" customHeight="1">
      <c r="A266" s="51" t="s">
        <v>1277</v>
      </c>
      <c r="B266" s="52" t="s">
        <v>1278</v>
      </c>
      <c r="C266" s="17" t="str">
        <f>HYPERLINK("https://ra-matina.ru/?vendor_code=pa_150")</f>
        <v>https://ra-matina.ru/?vendor_code=pa_150</v>
      </c>
      <c r="D266" s="53" t="s">
        <v>21</v>
      </c>
      <c r="E266" s="19" t="s">
        <v>763</v>
      </c>
      <c r="F266" s="15" t="s">
        <v>15</v>
      </c>
      <c r="G266" s="54" t="s">
        <v>939</v>
      </c>
    </row>
    <row r="267" ht="13.5" customHeight="1">
      <c r="A267" s="15" t="s">
        <v>1279</v>
      </c>
      <c r="B267" s="52" t="s">
        <v>1280</v>
      </c>
      <c r="C267" s="17" t="str">
        <f>HYPERLINK("https://ra-matina.ru/?vendor_code=KrscroN030_1А")</f>
        <v>https://ra-matina.ru/?vendor_code=KrscroN030_1А</v>
      </c>
      <c r="D267" s="15" t="s">
        <v>43</v>
      </c>
      <c r="E267" s="19" t="s">
        <v>752</v>
      </c>
      <c r="F267" s="15" t="s">
        <v>15</v>
      </c>
      <c r="G267" s="21">
        <v>35000.0</v>
      </c>
    </row>
    <row r="268" ht="13.5" customHeight="1">
      <c r="A268" s="55" t="s">
        <v>1281</v>
      </c>
      <c r="B268" s="52" t="s">
        <v>1282</v>
      </c>
      <c r="C268" s="17" t="str">
        <f>HYPERLINK("https://ra-matina.ru/?vendor_code=KRD091A2GGSC")</f>
        <v>https://ra-matina.ru/?vendor_code=KRD091A2GGSC</v>
      </c>
      <c r="D268" s="53" t="s">
        <v>13</v>
      </c>
      <c r="E268" s="19" t="s">
        <v>752</v>
      </c>
      <c r="F268" s="15" t="s">
        <v>15</v>
      </c>
      <c r="G268" s="54" t="s">
        <v>845</v>
      </c>
    </row>
    <row r="269" ht="13.5" customHeight="1">
      <c r="A269" s="55" t="s">
        <v>1283</v>
      </c>
      <c r="B269" s="52" t="s">
        <v>1284</v>
      </c>
      <c r="C269" s="17" t="str">
        <f>HYPERLINK("https://ra-matina.ru/?vendor_code=KRD092B1GGSC")</f>
        <v>https://ra-matina.ru/?vendor_code=KRD092B1GGSC</v>
      </c>
      <c r="D269" s="53" t="s">
        <v>21</v>
      </c>
      <c r="E269" s="19" t="s">
        <v>763</v>
      </c>
      <c r="F269" s="15" t="s">
        <v>15</v>
      </c>
      <c r="G269" s="54" t="s">
        <v>958</v>
      </c>
    </row>
    <row r="270" ht="13.5" customHeight="1">
      <c r="A270" s="15" t="s">
        <v>1285</v>
      </c>
      <c r="B270" s="52" t="s">
        <v>1286</v>
      </c>
      <c r="C270" s="17" t="str">
        <f>HYPERLINK("https://ra-matina.ru/?vendor_code=KrscroN031_1А3")</f>
        <v>https://ra-matina.ru/?vendor_code=KrscroN031_1А3</v>
      </c>
      <c r="D270" s="15" t="s">
        <v>18</v>
      </c>
      <c r="E270" s="19" t="s">
        <v>752</v>
      </c>
      <c r="F270" s="15" t="s">
        <v>15</v>
      </c>
      <c r="G270" s="21">
        <v>30000.0</v>
      </c>
    </row>
    <row r="271" ht="13.5" customHeight="1">
      <c r="A271" s="15" t="s">
        <v>1287</v>
      </c>
      <c r="B271" s="52" t="s">
        <v>1288</v>
      </c>
      <c r="C271" s="17" t="str">
        <f>HYPERLINK("https://ra-matina.ru/?vendor_code=KrscroN031А3")</f>
        <v>https://ra-matina.ru/?vendor_code=KrscroN031А3</v>
      </c>
      <c r="D271" s="15" t="s">
        <v>18</v>
      </c>
      <c r="E271" s="19" t="s">
        <v>752</v>
      </c>
      <c r="F271" s="15" t="s">
        <v>15</v>
      </c>
      <c r="G271" s="21">
        <v>28500.0</v>
      </c>
    </row>
    <row r="272" ht="13.5" customHeight="1">
      <c r="A272" s="53" t="s">
        <v>1289</v>
      </c>
      <c r="B272" s="52" t="s">
        <v>1290</v>
      </c>
      <c r="C272" s="17" t="str">
        <f>HYPERLINK("https://ra-matina.ru/?vendor_code=art_648")</f>
        <v>https://ra-matina.ru/?vendor_code=art_648</v>
      </c>
      <c r="D272" s="53" t="s">
        <v>43</v>
      </c>
      <c r="E272" s="19" t="s">
        <v>752</v>
      </c>
      <c r="F272" s="15" t="s">
        <v>15</v>
      </c>
      <c r="G272" s="54" t="s">
        <v>991</v>
      </c>
    </row>
    <row r="273" ht="13.5" customHeight="1">
      <c r="A273" s="51" t="s">
        <v>1291</v>
      </c>
      <c r="B273" s="52" t="s">
        <v>1292</v>
      </c>
      <c r="C273" s="17" t="str">
        <f>HYPERLINK("https://ra-matina.ru/?vendor_code=pa_110 ")</f>
        <v>https://ra-matina.ru/?vendor_code=pa_110 </v>
      </c>
      <c r="D273" s="53" t="s">
        <v>13</v>
      </c>
      <c r="E273" s="19" t="s">
        <v>752</v>
      </c>
      <c r="F273" s="15" t="s">
        <v>15</v>
      </c>
      <c r="G273" s="54" t="s">
        <v>1040</v>
      </c>
    </row>
    <row r="274" ht="13.5" customHeight="1">
      <c r="A274" s="51" t="s">
        <v>1293</v>
      </c>
      <c r="B274" s="52" t="s">
        <v>1294</v>
      </c>
      <c r="C274" s="17" t="str">
        <f>HYPERLINK("https://ra-matina.ru/?vendor_code=pa_110b")</f>
        <v>https://ra-matina.ru/?vendor_code=pa_110b</v>
      </c>
      <c r="D274" s="53" t="s">
        <v>21</v>
      </c>
      <c r="E274" s="19" t="s">
        <v>763</v>
      </c>
      <c r="F274" s="15" t="s">
        <v>15</v>
      </c>
      <c r="G274" s="54" t="s">
        <v>393</v>
      </c>
    </row>
    <row r="275" ht="13.5" customHeight="1">
      <c r="A275" s="15" t="s">
        <v>1295</v>
      </c>
      <c r="B275" s="52" t="s">
        <v>1296</v>
      </c>
      <c r="C275" s="17" t="str">
        <f>HYPERLINK("https://ra-matina.ru/?vendor_code=KrscroN033А")</f>
        <v>https://ra-matina.ru/?vendor_code=KrscroN033А</v>
      </c>
      <c r="D275" s="15" t="s">
        <v>28</v>
      </c>
      <c r="E275" s="19" t="s">
        <v>763</v>
      </c>
      <c r="F275" s="15" t="s">
        <v>15</v>
      </c>
      <c r="G275" s="21">
        <v>29000.0</v>
      </c>
    </row>
    <row r="276" ht="13.5" customHeight="1">
      <c r="A276" s="15" t="s">
        <v>1297</v>
      </c>
      <c r="B276" s="52" t="s">
        <v>1298</v>
      </c>
      <c r="C276" s="17" t="str">
        <f>HYPERLINK("https://ra-matina.ru/?vendor_code=KrscroN032Б")</f>
        <v>https://ra-matina.ru/?vendor_code=KrscroN032Б</v>
      </c>
      <c r="D276" s="15" t="s">
        <v>21</v>
      </c>
      <c r="E276" s="19" t="s">
        <v>763</v>
      </c>
      <c r="F276" s="15" t="s">
        <v>15</v>
      </c>
      <c r="G276" s="21">
        <v>28000.0</v>
      </c>
    </row>
    <row r="277" ht="13.5" customHeight="1">
      <c r="A277" s="15" t="s">
        <v>1299</v>
      </c>
      <c r="B277" s="52" t="s">
        <v>1300</v>
      </c>
      <c r="C277" s="17" t="str">
        <f>HYPERLINK("https://ra-matina.ru/?vendor_code=KrscroN032А")</f>
        <v>https://ra-matina.ru/?vendor_code=KrscroN032А</v>
      </c>
      <c r="D277" s="15" t="s">
        <v>28</v>
      </c>
      <c r="E277" s="19" t="s">
        <v>763</v>
      </c>
      <c r="F277" s="15" t="s">
        <v>15</v>
      </c>
      <c r="G277" s="21">
        <v>28000.0</v>
      </c>
    </row>
    <row r="278" ht="13.5" customHeight="1">
      <c r="A278" s="51" t="s">
        <v>1301</v>
      </c>
      <c r="B278" s="52" t="s">
        <v>1302</v>
      </c>
      <c r="C278" s="17" t="str">
        <f>HYPERLINK("https://ra-matina.ru/?vendor_code=art_692")</f>
        <v>https://ra-matina.ru/?vendor_code=art_692</v>
      </c>
      <c r="D278" s="53" t="s">
        <v>21</v>
      </c>
      <c r="E278" s="19" t="s">
        <v>763</v>
      </c>
      <c r="F278" s="15" t="s">
        <v>15</v>
      </c>
      <c r="G278" s="54" t="s">
        <v>89</v>
      </c>
    </row>
    <row r="279" ht="13.5" customHeight="1">
      <c r="A279" s="51" t="s">
        <v>1303</v>
      </c>
      <c r="B279" s="52" t="s">
        <v>1304</v>
      </c>
      <c r="C279" s="17" t="str">
        <f>HYPERLINK("https://ra-matina.ru/?vendor_code=art_667")</f>
        <v>https://ra-matina.ru/?vendor_code=art_667</v>
      </c>
      <c r="D279" s="53" t="s">
        <v>760</v>
      </c>
      <c r="E279" s="19" t="s">
        <v>752</v>
      </c>
      <c r="F279" s="15" t="s">
        <v>15</v>
      </c>
      <c r="G279" s="54" t="s">
        <v>939</v>
      </c>
    </row>
    <row r="280" ht="13.5" customHeight="1">
      <c r="A280" s="55" t="s">
        <v>1305</v>
      </c>
      <c r="B280" s="52" t="s">
        <v>1306</v>
      </c>
      <c r="C280" s="17" t="str">
        <f>HYPERLINK("https://ra-matina.ru/?vendor_code=KRD098A1GGSC")</f>
        <v>https://ra-matina.ru/?vendor_code=KRD098A1GGSC</v>
      </c>
      <c r="D280" s="53" t="s">
        <v>28</v>
      </c>
      <c r="E280" s="19" t="s">
        <v>763</v>
      </c>
      <c r="F280" s="15" t="s">
        <v>15</v>
      </c>
      <c r="G280" s="54" t="s">
        <v>280</v>
      </c>
    </row>
    <row r="281" ht="13.5" customHeight="1">
      <c r="A281" s="55" t="s">
        <v>1307</v>
      </c>
      <c r="B281" s="52" t="s">
        <v>1308</v>
      </c>
      <c r="C281" s="17" t="str">
        <f>HYPERLINK("https://ra-matina.ru/?vendor_code=KRD097A1GGSC")</f>
        <v>https://ra-matina.ru/?vendor_code=KRD097A1GGSC</v>
      </c>
      <c r="D281" s="53" t="s">
        <v>43</v>
      </c>
      <c r="E281" s="19" t="s">
        <v>752</v>
      </c>
      <c r="F281" s="15" t="s">
        <v>15</v>
      </c>
      <c r="G281" s="54" t="s">
        <v>280</v>
      </c>
    </row>
    <row r="282" ht="13.5" customHeight="1">
      <c r="A282" s="55" t="s">
        <v>1309</v>
      </c>
      <c r="B282" s="52" t="s">
        <v>1310</v>
      </c>
      <c r="C282" s="17" t="str">
        <f>HYPERLINK("https://ra-matina.ru/?vendor_code=KRD095B1GGSC")</f>
        <v>https://ra-matina.ru/?vendor_code=KRD095B1GGSC</v>
      </c>
      <c r="D282" s="53" t="s">
        <v>21</v>
      </c>
      <c r="E282" s="19" t="s">
        <v>763</v>
      </c>
      <c r="F282" s="15" t="s">
        <v>15</v>
      </c>
      <c r="G282" s="54" t="s">
        <v>757</v>
      </c>
    </row>
    <row r="283" ht="13.5" customHeight="1">
      <c r="A283" s="55" t="s">
        <v>1311</v>
      </c>
      <c r="B283" s="52" t="s">
        <v>1310</v>
      </c>
      <c r="C283" s="17" t="str">
        <f>HYPERLINK("https://ra-matina.ru/?vendor_code=KRD095A1GGSC")</f>
        <v>https://ra-matina.ru/?vendor_code=KRD095A1GGSC</v>
      </c>
      <c r="D283" s="53" t="s">
        <v>43</v>
      </c>
      <c r="E283" s="19" t="s">
        <v>752</v>
      </c>
      <c r="F283" s="15" t="s">
        <v>15</v>
      </c>
      <c r="G283" s="54" t="s">
        <v>56</v>
      </c>
    </row>
    <row r="284" ht="13.5" customHeight="1">
      <c r="A284" s="53" t="s">
        <v>1312</v>
      </c>
      <c r="B284" s="52" t="s">
        <v>1313</v>
      </c>
      <c r="C284" s="17" t="str">
        <f>HYPERLINK("https://ra-matina.ru/?vendor_code=art_236")</f>
        <v>https://ra-matina.ru/?vendor_code=art_236</v>
      </c>
      <c r="D284" s="53" t="s">
        <v>770</v>
      </c>
      <c r="E284" s="19" t="s">
        <v>752</v>
      </c>
      <c r="F284" s="15" t="s">
        <v>15</v>
      </c>
      <c r="G284" s="54" t="s">
        <v>771</v>
      </c>
    </row>
    <row r="285" ht="13.5" customHeight="1">
      <c r="A285" s="15" t="s">
        <v>1314</v>
      </c>
      <c r="B285" s="52" t="s">
        <v>1315</v>
      </c>
      <c r="C285" s="17" t="str">
        <f>HYPERLINK("https://ra-matina.ru/?vendor_code=KrscroN034А")</f>
        <v>https://ra-matina.ru/?vendor_code=KrscroN034А</v>
      </c>
      <c r="D285" s="15" t="s">
        <v>28</v>
      </c>
      <c r="E285" s="19" t="s">
        <v>763</v>
      </c>
      <c r="F285" s="15" t="s">
        <v>15</v>
      </c>
      <c r="G285" s="21">
        <v>27500.0</v>
      </c>
    </row>
    <row r="286" ht="13.5" customHeight="1">
      <c r="A286" s="15" t="s">
        <v>1316</v>
      </c>
      <c r="B286" s="52" t="s">
        <v>1317</v>
      </c>
      <c r="C286" s="17" t="str">
        <f>HYPERLINK("https://ra-matina.ru/?vendor_code=KrscroN035А1")</f>
        <v>https://ra-matina.ru/?vendor_code=KrscroN035А1</v>
      </c>
      <c r="D286" s="15" t="s">
        <v>43</v>
      </c>
      <c r="E286" s="19" t="s">
        <v>752</v>
      </c>
      <c r="F286" s="15" t="s">
        <v>15</v>
      </c>
      <c r="G286" s="21">
        <v>28500.0</v>
      </c>
    </row>
    <row r="287" ht="13.5" customHeight="1">
      <c r="A287" s="53" t="s">
        <v>1318</v>
      </c>
      <c r="B287" s="52" t="s">
        <v>1319</v>
      </c>
      <c r="C287" s="17" t="str">
        <f>HYPERLINK("https://ra-matina.ru/?vendor_code=UM_157")</f>
        <v>https://ra-matina.ru/?vendor_code=UM_157</v>
      </c>
      <c r="D287" s="53" t="s">
        <v>13</v>
      </c>
      <c r="E287" s="19" t="s">
        <v>752</v>
      </c>
      <c r="F287" s="15" t="s">
        <v>15</v>
      </c>
      <c r="G287" s="54" t="s">
        <v>84</v>
      </c>
    </row>
    <row r="288" ht="13.5" customHeight="1">
      <c r="A288" s="53" t="s">
        <v>1320</v>
      </c>
      <c r="B288" s="52" t="s">
        <v>1321</v>
      </c>
      <c r="C288" s="17" t="str">
        <f>HYPERLINK("https://ra-matina.ru/?vendor_code=UM_158")</f>
        <v>https://ra-matina.ru/?vendor_code=UM_158</v>
      </c>
      <c r="D288" s="53" t="s">
        <v>760</v>
      </c>
      <c r="E288" s="19" t="s">
        <v>752</v>
      </c>
      <c r="F288" s="15" t="s">
        <v>15</v>
      </c>
      <c r="G288" s="54" t="s">
        <v>176</v>
      </c>
    </row>
    <row r="289" ht="13.5" customHeight="1">
      <c r="A289" s="15" t="s">
        <v>1322</v>
      </c>
      <c r="B289" s="52" t="s">
        <v>1323</v>
      </c>
      <c r="C289" s="17" t="str">
        <f>HYPERLINK("https://ra-matina.ru/?vendor_code=KrscroN036А")</f>
        <v>https://ra-matina.ru/?vendor_code=KrscroN036А</v>
      </c>
      <c r="D289" s="15" t="s">
        <v>28</v>
      </c>
      <c r="E289" s="19" t="s">
        <v>22</v>
      </c>
      <c r="F289" s="15" t="s">
        <v>15</v>
      </c>
      <c r="G289" s="21">
        <v>27500.0</v>
      </c>
    </row>
    <row r="290" ht="13.5" customHeight="1">
      <c r="A290" s="55" t="s">
        <v>1324</v>
      </c>
      <c r="B290" s="52" t="s">
        <v>1325</v>
      </c>
      <c r="C290" s="17" t="str">
        <f>HYPERLINK("https://ra-matina.ru/?vendor_code=KRD102B1GGSC")</f>
        <v>https://ra-matina.ru/?vendor_code=KRD102B1GGSC</v>
      </c>
      <c r="D290" s="53" t="s">
        <v>21</v>
      </c>
      <c r="E290" s="19" t="s">
        <v>763</v>
      </c>
      <c r="F290" s="15" t="s">
        <v>15</v>
      </c>
      <c r="G290" s="54" t="s">
        <v>954</v>
      </c>
    </row>
    <row r="291" ht="13.5" customHeight="1">
      <c r="A291" s="55" t="s">
        <v>1326</v>
      </c>
      <c r="B291" s="52" t="s">
        <v>1327</v>
      </c>
      <c r="C291" s="17" t="str">
        <f>HYPERLINK("https://ra-matina.ru/?vendor_code=KRD100B1GGSC")</f>
        <v>https://ra-matina.ru/?vendor_code=KRD100B1GGSC</v>
      </c>
      <c r="D291" s="53" t="s">
        <v>21</v>
      </c>
      <c r="E291" s="19" t="s">
        <v>763</v>
      </c>
      <c r="F291" s="15" t="s">
        <v>15</v>
      </c>
      <c r="G291" s="54" t="s">
        <v>954</v>
      </c>
    </row>
    <row r="292" ht="13.5" customHeight="1">
      <c r="A292" s="51" t="s">
        <v>1328</v>
      </c>
      <c r="B292" s="52" t="s">
        <v>1329</v>
      </c>
      <c r="C292" s="17" t="str">
        <f>HYPERLINK("https://ra-matina.ru/?vendor_code=pa_208")</f>
        <v>https://ra-matina.ru/?vendor_code=pa_208</v>
      </c>
      <c r="D292" s="53" t="s">
        <v>898</v>
      </c>
      <c r="E292" s="19" t="s">
        <v>752</v>
      </c>
      <c r="F292" s="15" t="s">
        <v>15</v>
      </c>
      <c r="G292" s="54" t="s">
        <v>23</v>
      </c>
    </row>
    <row r="293" ht="13.5" customHeight="1">
      <c r="A293" s="51" t="s">
        <v>1330</v>
      </c>
      <c r="B293" s="52" t="s">
        <v>1331</v>
      </c>
      <c r="C293" s="17" t="str">
        <f>HYPERLINK("https://ra-matina.ru/?vendor_code=pa_207")</f>
        <v>https://ra-matina.ru/?vendor_code=pa_207</v>
      </c>
      <c r="D293" s="53" t="s">
        <v>28</v>
      </c>
      <c r="E293" s="19" t="s">
        <v>763</v>
      </c>
      <c r="F293" s="15" t="s">
        <v>15</v>
      </c>
      <c r="G293" s="54" t="s">
        <v>280</v>
      </c>
    </row>
    <row r="294" ht="13.5" customHeight="1">
      <c r="A294" s="51" t="s">
        <v>1332</v>
      </c>
      <c r="B294" s="52" t="s">
        <v>1333</v>
      </c>
      <c r="C294" s="17" t="str">
        <f>HYPERLINK("https://ra-matina.ru/?vendor_code=pa_048")</f>
        <v>https://ra-matina.ru/?vendor_code=pa_048</v>
      </c>
      <c r="D294" s="53" t="s">
        <v>43</v>
      </c>
      <c r="E294" s="19" t="s">
        <v>752</v>
      </c>
      <c r="F294" s="15" t="s">
        <v>15</v>
      </c>
      <c r="G294" s="54" t="s">
        <v>23</v>
      </c>
    </row>
    <row r="295" ht="13.5" customHeight="1">
      <c r="A295" s="55" t="s">
        <v>1334</v>
      </c>
      <c r="B295" s="52" t="s">
        <v>1335</v>
      </c>
      <c r="C295" s="17" t="str">
        <f>HYPERLINK("https://ra-matina.ru/?vendor_code=KRD103B1GGSC")</f>
        <v>https://ra-matina.ru/?vendor_code=KRD103B1GGSC</v>
      </c>
      <c r="D295" s="53" t="s">
        <v>21</v>
      </c>
      <c r="E295" s="19" t="s">
        <v>763</v>
      </c>
      <c r="F295" s="15" t="s">
        <v>15</v>
      </c>
      <c r="G295" s="54" t="s">
        <v>1336</v>
      </c>
    </row>
    <row r="296" ht="13.5" customHeight="1">
      <c r="A296" s="55" t="s">
        <v>1337</v>
      </c>
      <c r="B296" s="52" t="s">
        <v>1335</v>
      </c>
      <c r="C296" s="17" t="str">
        <f>HYPERLINK("https://ra-matina.ru/?vendor_code=KRD103A5GGSC")</f>
        <v>https://ra-matina.ru/?vendor_code=KRD103A5GGSC</v>
      </c>
      <c r="D296" s="53" t="s">
        <v>760</v>
      </c>
      <c r="E296" s="19" t="s">
        <v>752</v>
      </c>
      <c r="F296" s="15" t="s">
        <v>15</v>
      </c>
      <c r="G296" s="54" t="s">
        <v>1338</v>
      </c>
    </row>
    <row r="297" ht="13.5" customHeight="1">
      <c r="A297" s="53" t="s">
        <v>1339</v>
      </c>
      <c r="B297" s="52" t="s">
        <v>1340</v>
      </c>
      <c r="C297" s="17" t="str">
        <f>HYPERLINK("https://ra-matina.ru/?vendor_code=art_432")</f>
        <v>https://ra-matina.ru/?vendor_code=art_432</v>
      </c>
      <c r="D297" s="53" t="s">
        <v>18</v>
      </c>
      <c r="E297" s="19" t="s">
        <v>752</v>
      </c>
      <c r="F297" s="15" t="s">
        <v>15</v>
      </c>
      <c r="G297" s="54" t="s">
        <v>583</v>
      </c>
    </row>
    <row r="298" ht="13.5" customHeight="1">
      <c r="A298" s="51" t="s">
        <v>1341</v>
      </c>
      <c r="B298" s="52" t="s">
        <v>1342</v>
      </c>
      <c r="C298" s="17" t="str">
        <f>HYPERLINK("https://ra-matina.ru/?vendor_code=art_081")</f>
        <v>https://ra-matina.ru/?vendor_code=art_081</v>
      </c>
      <c r="D298" s="53" t="s">
        <v>302</v>
      </c>
      <c r="E298" s="19" t="s">
        <v>752</v>
      </c>
      <c r="F298" s="15" t="s">
        <v>15</v>
      </c>
      <c r="G298" s="54" t="s">
        <v>771</v>
      </c>
    </row>
    <row r="299" ht="13.5" customHeight="1">
      <c r="A299" s="51" t="s">
        <v>1343</v>
      </c>
      <c r="B299" s="52" t="s">
        <v>1344</v>
      </c>
      <c r="C299" s="17" t="str">
        <f>HYPERLINK("https://ra-matina.ru/?vendor_code=pa_033")</f>
        <v>https://ra-matina.ru/?vendor_code=pa_033</v>
      </c>
      <c r="D299" s="53" t="s">
        <v>760</v>
      </c>
      <c r="E299" s="19" t="s">
        <v>752</v>
      </c>
      <c r="F299" s="15" t="s">
        <v>15</v>
      </c>
      <c r="G299" s="54" t="s">
        <v>1215</v>
      </c>
    </row>
    <row r="300" ht="13.5" customHeight="1">
      <c r="A300" s="51" t="s">
        <v>1345</v>
      </c>
      <c r="B300" s="52" t="s">
        <v>1346</v>
      </c>
      <c r="C300" s="17" t="str">
        <f>HYPERLINK("https://ra-matina.ru/?vendor_code=pa_034")</f>
        <v>https://ra-matina.ru/?vendor_code=pa_034</v>
      </c>
      <c r="D300" s="18" t="s">
        <v>21</v>
      </c>
      <c r="E300" s="19" t="s">
        <v>763</v>
      </c>
      <c r="F300" s="15" t="s">
        <v>15</v>
      </c>
      <c r="G300" s="20" t="s">
        <v>220</v>
      </c>
    </row>
    <row r="301" ht="13.5" customHeight="1">
      <c r="A301" s="55" t="s">
        <v>1347</v>
      </c>
      <c r="B301" s="52" t="s">
        <v>1348</v>
      </c>
      <c r="C301" s="17" t="str">
        <f>HYPERLINK("https://ra-matina.ru/?vendor_code=KRD104A2GGSC")</f>
        <v>https://ra-matina.ru/?vendor_code=KRD104A2GGSC</v>
      </c>
      <c r="D301" s="53" t="s">
        <v>13</v>
      </c>
      <c r="E301" s="19" t="s">
        <v>752</v>
      </c>
      <c r="F301" s="15" t="s">
        <v>15</v>
      </c>
      <c r="G301" s="54" t="s">
        <v>1338</v>
      </c>
    </row>
    <row r="302" ht="13.5" customHeight="1">
      <c r="A302" s="55" t="s">
        <v>1349</v>
      </c>
      <c r="B302" s="52" t="s">
        <v>1350</v>
      </c>
      <c r="C302" s="17" t="str">
        <f>HYPERLINK("https://ra-matina.ru/?vendor_code=KRD105B1GGSC")</f>
        <v>https://ra-matina.ru/?vendor_code=KRD105B1GGSC</v>
      </c>
      <c r="D302" s="53" t="s">
        <v>21</v>
      </c>
      <c r="E302" s="19" t="s">
        <v>763</v>
      </c>
      <c r="F302" s="15" t="s">
        <v>15</v>
      </c>
      <c r="G302" s="54" t="s">
        <v>1336</v>
      </c>
    </row>
    <row r="303" ht="13.5" customHeight="1">
      <c r="A303" s="55" t="s">
        <v>1351</v>
      </c>
      <c r="B303" s="52" t="s">
        <v>1350</v>
      </c>
      <c r="C303" s="17" t="str">
        <f>HYPERLINK("https://ra-matina.ru/?vendor_code=KRD105A1GGSC")</f>
        <v>https://ra-matina.ru/?vendor_code=KRD105A1GGSC</v>
      </c>
      <c r="D303" s="53" t="s">
        <v>43</v>
      </c>
      <c r="E303" s="19" t="s">
        <v>752</v>
      </c>
      <c r="F303" s="15" t="s">
        <v>15</v>
      </c>
      <c r="G303" s="54" t="s">
        <v>1338</v>
      </c>
    </row>
    <row r="304" ht="13.5" customHeight="1">
      <c r="A304" s="15" t="s">
        <v>1352</v>
      </c>
      <c r="B304" s="52" t="s">
        <v>1353</v>
      </c>
      <c r="C304" s="17" t="str">
        <f>HYPERLINK("https://ra-matina.ru/?vendor_code=KrscroN036_1Б")</f>
        <v>https://ra-matina.ru/?vendor_code=KrscroN036_1Б</v>
      </c>
      <c r="D304" s="15" t="s">
        <v>302</v>
      </c>
      <c r="E304" s="19" t="s">
        <v>752</v>
      </c>
      <c r="F304" s="15" t="s">
        <v>15</v>
      </c>
      <c r="G304" s="21">
        <v>32000.0</v>
      </c>
    </row>
    <row r="305" ht="13.5" customHeight="1">
      <c r="A305" s="15" t="s">
        <v>1354</v>
      </c>
      <c r="B305" s="52" t="s">
        <v>1355</v>
      </c>
      <c r="C305" s="17" t="str">
        <f>HYPERLINK("https://ra-matina.ru/?vendor_code=KrscroN036_1А")</f>
        <v>https://ra-matina.ru/?vendor_code=KrscroN036_1А</v>
      </c>
      <c r="D305" s="15" t="s">
        <v>43</v>
      </c>
      <c r="E305" s="19" t="s">
        <v>752</v>
      </c>
      <c r="F305" s="15" t="s">
        <v>15</v>
      </c>
      <c r="G305" s="21">
        <v>32000.0</v>
      </c>
    </row>
    <row r="306" ht="13.5" customHeight="1">
      <c r="A306" s="55" t="s">
        <v>1356</v>
      </c>
      <c r="B306" s="52" t="s">
        <v>1357</v>
      </c>
      <c r="C306" s="17" t="str">
        <f>HYPERLINK("https://ra-matina.ru/?vendor_code=KRD106A5GGSC")</f>
        <v>https://ra-matina.ru/?vendor_code=KRD106A5GGSC</v>
      </c>
      <c r="D306" s="53" t="s">
        <v>760</v>
      </c>
      <c r="E306" s="19" t="s">
        <v>752</v>
      </c>
      <c r="F306" s="15" t="s">
        <v>15</v>
      </c>
      <c r="G306" s="54" t="s">
        <v>845</v>
      </c>
    </row>
    <row r="307" ht="13.5" customHeight="1">
      <c r="A307" s="55" t="s">
        <v>1358</v>
      </c>
      <c r="B307" s="52" t="s">
        <v>1359</v>
      </c>
      <c r="C307" s="17" t="str">
        <f>HYPERLINK("https://ra-matina.ru/?vendor_code=KRD107A5GGSC")</f>
        <v>https://ra-matina.ru/?vendor_code=KRD107A5GGSC</v>
      </c>
      <c r="D307" s="53" t="s">
        <v>760</v>
      </c>
      <c r="E307" s="19" t="s">
        <v>752</v>
      </c>
      <c r="F307" s="15" t="s">
        <v>15</v>
      </c>
      <c r="G307" s="54" t="s">
        <v>280</v>
      </c>
    </row>
    <row r="308" ht="13.5" customHeight="1">
      <c r="A308" s="55" t="s">
        <v>1360</v>
      </c>
      <c r="B308" s="52" t="s">
        <v>1361</v>
      </c>
      <c r="C308" s="17" t="str">
        <f>HYPERLINK("https://ra-matina.ru/?vendor_code=KRD108B1GGSC")</f>
        <v>https://ra-matina.ru/?vendor_code=KRD108B1GGSC</v>
      </c>
      <c r="D308" s="53" t="s">
        <v>21</v>
      </c>
      <c r="E308" s="19" t="s">
        <v>763</v>
      </c>
      <c r="F308" s="15" t="s">
        <v>15</v>
      </c>
      <c r="G308" s="54" t="s">
        <v>954</v>
      </c>
    </row>
    <row r="309" ht="13.5" customHeight="1">
      <c r="A309" s="15" t="s">
        <v>1362</v>
      </c>
      <c r="B309" s="52" t="s">
        <v>1363</v>
      </c>
      <c r="C309" s="17" t="str">
        <f>HYPERLINK("https://ra-matina.ru/?vendor_code=KrscroN037А")</f>
        <v>https://ra-matina.ru/?vendor_code=KrscroN037А</v>
      </c>
      <c r="D309" s="15" t="s">
        <v>28</v>
      </c>
      <c r="E309" s="19" t="s">
        <v>763</v>
      </c>
      <c r="F309" s="15" t="s">
        <v>15</v>
      </c>
      <c r="G309" s="21">
        <v>27500.0</v>
      </c>
    </row>
    <row r="310" ht="13.5" customHeight="1">
      <c r="A310" s="51" t="s">
        <v>1364</v>
      </c>
      <c r="B310" s="52" t="s">
        <v>1365</v>
      </c>
      <c r="C310" s="17" t="str">
        <f>HYPERLINK("https://ra-matina.ru/?vendor_code=UM_373")</f>
        <v>https://ra-matina.ru/?vendor_code=UM_373</v>
      </c>
      <c r="D310" s="53" t="s">
        <v>21</v>
      </c>
      <c r="E310" s="19" t="s">
        <v>763</v>
      </c>
      <c r="F310" s="15" t="s">
        <v>15</v>
      </c>
      <c r="G310" s="54" t="s">
        <v>393</v>
      </c>
    </row>
    <row r="311" ht="13.5" customHeight="1">
      <c r="A311" s="55" t="s">
        <v>1366</v>
      </c>
      <c r="B311" s="52" t="s">
        <v>1367</v>
      </c>
      <c r="C311" s="17" t="str">
        <f>HYPERLINK("https://ra-matina.ru/?vendor_code=KRD109B1GGSC")</f>
        <v>https://ra-matina.ru/?vendor_code=KRD109B1GGSC</v>
      </c>
      <c r="D311" s="53" t="s">
        <v>21</v>
      </c>
      <c r="E311" s="19" t="s">
        <v>763</v>
      </c>
      <c r="F311" s="15" t="s">
        <v>15</v>
      </c>
      <c r="G311" s="54" t="s">
        <v>954</v>
      </c>
    </row>
    <row r="312" ht="13.5" customHeight="1">
      <c r="A312" s="15" t="s">
        <v>1368</v>
      </c>
      <c r="B312" s="52" t="s">
        <v>1369</v>
      </c>
      <c r="C312" s="17" t="str">
        <f>HYPERLINK("https://ra-matina.ru/?vendor_code=KrscroN038А")</f>
        <v>https://ra-matina.ru/?vendor_code=KrscroN038А</v>
      </c>
      <c r="D312" s="15" t="s">
        <v>28</v>
      </c>
      <c r="E312" s="19" t="s">
        <v>763</v>
      </c>
      <c r="F312" s="15" t="s">
        <v>40</v>
      </c>
      <c r="G312" s="21">
        <v>28500.0</v>
      </c>
    </row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G1"/>
    <mergeCell ref="B2:G2"/>
    <mergeCell ref="B4:G4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69.57"/>
    <col customWidth="1" min="3" max="3" width="41.86"/>
    <col customWidth="1" min="4" max="4" width="8.0"/>
    <col customWidth="1" min="5" max="5" width="18.29"/>
    <col customWidth="1" min="6" max="6" width="11.0"/>
    <col customWidth="1" min="7" max="7" width="13.14"/>
  </cols>
  <sheetData>
    <row r="1" ht="15.0" customHeight="1">
      <c r="A1" s="40"/>
      <c r="B1" s="41" t="s">
        <v>0</v>
      </c>
      <c r="C1" s="7"/>
      <c r="D1" s="7"/>
      <c r="E1" s="7"/>
      <c r="F1" s="7"/>
      <c r="G1" s="7"/>
    </row>
    <row r="2" ht="14.25" customHeight="1">
      <c r="A2" s="42"/>
      <c r="B2" s="6" t="s">
        <v>746</v>
      </c>
      <c r="C2" s="7"/>
      <c r="D2" s="7"/>
      <c r="E2" s="7"/>
      <c r="F2" s="7"/>
      <c r="G2" s="7"/>
    </row>
    <row r="3" ht="14.25" customHeight="1">
      <c r="A3" s="42"/>
      <c r="B3" s="43"/>
      <c r="C3" s="44"/>
      <c r="D3" s="45"/>
      <c r="E3" s="45"/>
      <c r="F3" s="43"/>
      <c r="G3" s="43"/>
    </row>
    <row r="4" ht="66.75" customHeight="1">
      <c r="A4" s="42"/>
      <c r="B4" s="6" t="s">
        <v>1370</v>
      </c>
      <c r="C4" s="7"/>
      <c r="D4" s="7"/>
      <c r="E4" s="7"/>
      <c r="F4" s="7"/>
      <c r="G4" s="7"/>
    </row>
    <row r="5" ht="14.25" customHeight="1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ht="21.0" customHeight="1">
      <c r="A6" s="57" t="s">
        <v>1371</v>
      </c>
      <c r="B6" s="12"/>
      <c r="C6" s="12"/>
      <c r="D6" s="12"/>
      <c r="E6" s="12"/>
      <c r="F6" s="12"/>
      <c r="G6" s="13"/>
    </row>
    <row r="7" ht="14.25" customHeight="1">
      <c r="A7" s="14" t="s">
        <v>1372</v>
      </c>
    </row>
    <row r="8" ht="13.5" customHeight="1">
      <c r="A8" s="27" t="s">
        <v>1373</v>
      </c>
      <c r="B8" s="58" t="s">
        <v>1374</v>
      </c>
      <c r="C8" s="29" t="s">
        <v>1375</v>
      </c>
      <c r="D8" s="27" t="s">
        <v>1376</v>
      </c>
      <c r="E8" s="19" t="s">
        <v>1377</v>
      </c>
      <c r="F8" s="27" t="s">
        <v>15</v>
      </c>
      <c r="G8" s="25" t="s">
        <v>1378</v>
      </c>
    </row>
    <row r="9" ht="13.5" customHeight="1">
      <c r="A9" s="15" t="s">
        <v>1379</v>
      </c>
      <c r="B9" s="52" t="s">
        <v>1380</v>
      </c>
      <c r="C9" s="17" t="str">
        <f>HYPERLINK("https://ra-matina.ru/?vendor_code=KrsupN001А")</f>
        <v>https://ra-matina.ru/?vendor_code=KrsupN001А</v>
      </c>
      <c r="D9" s="15" t="s">
        <v>28</v>
      </c>
      <c r="E9" s="33" t="s">
        <v>1381</v>
      </c>
      <c r="F9" s="15" t="s">
        <v>40</v>
      </c>
      <c r="G9" s="25" t="s">
        <v>1382</v>
      </c>
    </row>
    <row r="10" ht="13.5" customHeight="1">
      <c r="A10" s="27" t="s">
        <v>1383</v>
      </c>
      <c r="B10" s="58" t="s">
        <v>1384</v>
      </c>
      <c r="C10" s="29" t="s">
        <v>1385</v>
      </c>
      <c r="D10" s="27" t="s">
        <v>21</v>
      </c>
      <c r="E10" s="19" t="s">
        <v>1386</v>
      </c>
      <c r="F10" s="15" t="s">
        <v>15</v>
      </c>
      <c r="G10" s="25" t="s">
        <v>1387</v>
      </c>
    </row>
    <row r="11" ht="13.5" customHeight="1">
      <c r="A11" s="15" t="s">
        <v>1388</v>
      </c>
      <c r="B11" s="52" t="s">
        <v>1389</v>
      </c>
      <c r="C11" s="17" t="str">
        <f>HYPERLINK("https://ra-matina.ru/?vendor_code=KrsupN001_1А")</f>
        <v>https://ra-matina.ru/?vendor_code=KrsupN001_1А</v>
      </c>
      <c r="D11" s="15" t="s">
        <v>28</v>
      </c>
      <c r="E11" s="19" t="s">
        <v>1390</v>
      </c>
      <c r="F11" s="15" t="s">
        <v>15</v>
      </c>
      <c r="G11" s="21">
        <v>90000.0</v>
      </c>
    </row>
    <row r="12" ht="13.5" customHeight="1">
      <c r="A12" s="15" t="s">
        <v>1391</v>
      </c>
      <c r="B12" s="52" t="s">
        <v>1392</v>
      </c>
      <c r="C12" s="17" t="str">
        <f>HYPERLINK("https://ra-matina.ru/?vendor_code=KrsupN001_1Б")</f>
        <v>https://ra-matina.ru/?vendor_code=KrsupN001_1Б</v>
      </c>
      <c r="D12" s="15" t="s">
        <v>21</v>
      </c>
      <c r="E12" s="19" t="s">
        <v>1390</v>
      </c>
      <c r="F12" s="15" t="s">
        <v>15</v>
      </c>
      <c r="G12" s="21">
        <v>90000.0</v>
      </c>
    </row>
    <row r="13" ht="13.5" customHeight="1">
      <c r="A13" s="27" t="s">
        <v>1393</v>
      </c>
      <c r="B13" s="58" t="s">
        <v>1394</v>
      </c>
      <c r="C13" s="29" t="s">
        <v>1395</v>
      </c>
      <c r="D13" s="27" t="s">
        <v>18</v>
      </c>
      <c r="E13" s="19" t="s">
        <v>1396</v>
      </c>
      <c r="F13" s="15" t="s">
        <v>15</v>
      </c>
      <c r="G13" s="25" t="s">
        <v>1397</v>
      </c>
    </row>
    <row r="14" ht="13.5" customHeight="1">
      <c r="A14" s="53" t="s">
        <v>1398</v>
      </c>
      <c r="B14" s="59" t="s">
        <v>1399</v>
      </c>
      <c r="C14" s="17" t="str">
        <f>HYPERLINK("https://ra-matina.ru/?vendor_code=art_603")</f>
        <v>https://ra-matina.ru/?vendor_code=art_603</v>
      </c>
      <c r="D14" s="53" t="s">
        <v>28</v>
      </c>
      <c r="E14" s="19" t="s">
        <v>1377</v>
      </c>
      <c r="F14" s="18" t="s">
        <v>15</v>
      </c>
      <c r="G14" s="54" t="s">
        <v>1400</v>
      </c>
    </row>
    <row r="15" ht="13.5" customHeight="1">
      <c r="A15" s="53" t="s">
        <v>1401</v>
      </c>
      <c r="B15" s="59" t="s">
        <v>1399</v>
      </c>
      <c r="C15" s="24" t="s">
        <v>1402</v>
      </c>
      <c r="D15" s="53" t="s">
        <v>21</v>
      </c>
      <c r="E15" s="19" t="s">
        <v>1377</v>
      </c>
      <c r="F15" s="18" t="s">
        <v>15</v>
      </c>
      <c r="G15" s="54" t="s">
        <v>1403</v>
      </c>
    </row>
    <row r="16" ht="13.5" customHeight="1">
      <c r="A16" s="53" t="s">
        <v>1404</v>
      </c>
      <c r="B16" s="59" t="s">
        <v>1399</v>
      </c>
      <c r="C16" s="17" t="str">
        <f>HYPERLINK("https://ra-matina.ru/?vendor_code=art_605")</f>
        <v>https://ra-matina.ru/?vendor_code=art_605</v>
      </c>
      <c r="D16" s="53" t="s">
        <v>1376</v>
      </c>
      <c r="E16" s="19" t="s">
        <v>1377</v>
      </c>
      <c r="F16" s="18" t="s">
        <v>15</v>
      </c>
      <c r="G16" s="54" t="s">
        <v>1403</v>
      </c>
    </row>
    <row r="17" ht="13.5" customHeight="1">
      <c r="A17" s="15" t="s">
        <v>1405</v>
      </c>
      <c r="B17" s="52" t="s">
        <v>1406</v>
      </c>
      <c r="C17" s="17" t="str">
        <f>HYPERLINK("https://ra-matina.ru/?vendor_code=KrsupN001А1")</f>
        <v>https://ra-matina.ru/?vendor_code=KrsupN001А1</v>
      </c>
      <c r="D17" s="15" t="s">
        <v>28</v>
      </c>
      <c r="E17" s="19" t="s">
        <v>1386</v>
      </c>
      <c r="F17" s="15" t="s">
        <v>15</v>
      </c>
      <c r="G17" s="21">
        <v>250000.0</v>
      </c>
    </row>
    <row r="18" ht="13.5" customHeight="1">
      <c r="A18" s="15" t="s">
        <v>1407</v>
      </c>
      <c r="B18" s="52" t="s">
        <v>1408</v>
      </c>
      <c r="C18" s="24" t="s">
        <v>1409</v>
      </c>
      <c r="D18" s="15" t="s">
        <v>21</v>
      </c>
      <c r="E18" s="19" t="s">
        <v>1386</v>
      </c>
      <c r="F18" s="15" t="s">
        <v>15</v>
      </c>
      <c r="G18" s="21">
        <v>225000.0</v>
      </c>
    </row>
    <row r="19" ht="13.5" customHeight="1">
      <c r="A19" s="15" t="s">
        <v>1410</v>
      </c>
      <c r="B19" s="52" t="s">
        <v>1411</v>
      </c>
      <c r="C19" s="17" t="str">
        <f>HYPERLINK("https://ra-matina.ru/?vendor_code=KrsupN001Б")</f>
        <v>https://ra-matina.ru/?vendor_code=KrsupN001Б</v>
      </c>
      <c r="D19" s="15" t="s">
        <v>21</v>
      </c>
      <c r="E19" s="19" t="s">
        <v>1412</v>
      </c>
      <c r="F19" s="15" t="s">
        <v>15</v>
      </c>
      <c r="G19" s="21">
        <v>200000.0</v>
      </c>
    </row>
    <row r="20" ht="13.5" customHeight="1">
      <c r="A20" s="51" t="s">
        <v>1413</v>
      </c>
      <c r="B20" s="59" t="s">
        <v>1414</v>
      </c>
      <c r="C20" s="17" t="str">
        <f>HYPERLINK("https://ra-matina.ru/?vendor_code=pa_297")</f>
        <v>https://ra-matina.ru/?vendor_code=pa_297</v>
      </c>
      <c r="D20" s="53" t="s">
        <v>43</v>
      </c>
      <c r="E20" s="19" t="s">
        <v>1396</v>
      </c>
      <c r="F20" s="18" t="s">
        <v>15</v>
      </c>
      <c r="G20" s="54" t="s">
        <v>1415</v>
      </c>
    </row>
    <row r="21" ht="13.5" customHeight="1">
      <c r="A21" s="15" t="s">
        <v>1416</v>
      </c>
      <c r="B21" s="52" t="s">
        <v>1417</v>
      </c>
      <c r="C21" s="17" t="str">
        <f>HYPERLINK("https://ra-matina.ru/?vendor_code=KrsupN003А1")</f>
        <v>https://ra-matina.ru/?vendor_code=KrsupN003А1</v>
      </c>
      <c r="D21" s="15" t="s">
        <v>28</v>
      </c>
      <c r="E21" s="19" t="s">
        <v>1386</v>
      </c>
      <c r="F21" s="15" t="s">
        <v>15</v>
      </c>
      <c r="G21" s="21">
        <v>245000.0</v>
      </c>
    </row>
    <row r="22" ht="13.5" customHeight="1">
      <c r="A22" s="15" t="s">
        <v>1418</v>
      </c>
      <c r="B22" s="52" t="s">
        <v>1419</v>
      </c>
      <c r="C22" s="17" t="str">
        <f>HYPERLINK("https://ra-matina.ru/?vendor_code=KrsupN003_Б")</f>
        <v>https://ra-matina.ru/?vendor_code=KrsupN003_Б</v>
      </c>
      <c r="D22" s="15" t="s">
        <v>21</v>
      </c>
      <c r="E22" s="19" t="s">
        <v>1386</v>
      </c>
      <c r="F22" s="15" t="s">
        <v>15</v>
      </c>
      <c r="G22" s="25" t="s">
        <v>1420</v>
      </c>
    </row>
    <row r="23" ht="13.5" customHeight="1">
      <c r="A23" s="15" t="s">
        <v>1421</v>
      </c>
      <c r="B23" s="52" t="s">
        <v>1422</v>
      </c>
      <c r="C23" s="17" t="str">
        <f>HYPERLINK("https://ra-matina.ru/?vendor_code=KrsupN002Б2")</f>
        <v>https://ra-matina.ru/?vendor_code=KrsupN002Б2</v>
      </c>
      <c r="D23" s="15" t="s">
        <v>21</v>
      </c>
      <c r="E23" s="19" t="s">
        <v>1390</v>
      </c>
      <c r="F23" s="15" t="s">
        <v>15</v>
      </c>
      <c r="G23" s="21">
        <v>120000.0</v>
      </c>
    </row>
    <row r="24" ht="13.5" customHeight="1">
      <c r="A24" s="15" t="s">
        <v>1423</v>
      </c>
      <c r="B24" s="52" t="s">
        <v>1424</v>
      </c>
      <c r="C24" s="17" t="str">
        <f>HYPERLINK("https://ra-matina.ru/?vendor_code=KrsupN002Б1")</f>
        <v>https://ra-matina.ru/?vendor_code=KrsupN002Б1</v>
      </c>
      <c r="D24" s="15" t="s">
        <v>21</v>
      </c>
      <c r="E24" s="19" t="s">
        <v>1390</v>
      </c>
      <c r="F24" s="15" t="s">
        <v>15</v>
      </c>
      <c r="G24" s="21">
        <v>120000.0</v>
      </c>
    </row>
    <row r="25" ht="13.5" customHeight="1">
      <c r="A25" s="15" t="s">
        <v>1425</v>
      </c>
      <c r="B25" s="52" t="s">
        <v>1426</v>
      </c>
      <c r="C25" s="17" t="str">
        <f>HYPERLINK("https://ra-matina.ru/?vendor_code=KrsupN002А")</f>
        <v>https://ra-matina.ru/?vendor_code=KrsupN002А</v>
      </c>
      <c r="D25" s="15" t="s">
        <v>28</v>
      </c>
      <c r="E25" s="19" t="s">
        <v>1390</v>
      </c>
      <c r="F25" s="15" t="s">
        <v>15</v>
      </c>
      <c r="G25" s="21">
        <v>125000.0</v>
      </c>
    </row>
    <row r="26" ht="13.5" customHeight="1">
      <c r="A26" s="51" t="s">
        <v>1427</v>
      </c>
      <c r="B26" s="59" t="s">
        <v>1196</v>
      </c>
      <c r="C26" s="17" t="str">
        <f>HYPERLINK("https://ra-matina.ru/?vendor_code=pa_161")</f>
        <v>https://ra-matina.ru/?vendor_code=pa_161</v>
      </c>
      <c r="D26" s="53" t="s">
        <v>35</v>
      </c>
      <c r="E26" s="19" t="s">
        <v>1396</v>
      </c>
      <c r="F26" s="18" t="s">
        <v>15</v>
      </c>
      <c r="G26" s="54" t="s">
        <v>1428</v>
      </c>
    </row>
    <row r="27" ht="13.5" customHeight="1">
      <c r="A27" s="51" t="s">
        <v>1429</v>
      </c>
      <c r="B27" s="59" t="s">
        <v>1198</v>
      </c>
      <c r="C27" s="17" t="str">
        <f>HYPERLINK("https://ra-matina.ru/?vendor_code=pa_160")</f>
        <v>https://ra-matina.ru/?vendor_code=pa_160</v>
      </c>
      <c r="D27" s="53" t="s">
        <v>13</v>
      </c>
      <c r="E27" s="19" t="s">
        <v>1396</v>
      </c>
      <c r="F27" s="18" t="s">
        <v>15</v>
      </c>
      <c r="G27" s="54" t="s">
        <v>1430</v>
      </c>
    </row>
    <row r="28" ht="13.5" customHeight="1">
      <c r="A28" s="15" t="s">
        <v>1431</v>
      </c>
      <c r="B28" s="52" t="s">
        <v>1432</v>
      </c>
      <c r="C28" s="17" t="str">
        <f>HYPERLINK("https://ra-matina.ru/?vendor_code=KrsupN003Б")</f>
        <v>https://ra-matina.ru/?vendor_code=KrsupN003Б</v>
      </c>
      <c r="D28" s="15" t="s">
        <v>21</v>
      </c>
      <c r="E28" s="19" t="s">
        <v>1386</v>
      </c>
      <c r="F28" s="15" t="s">
        <v>15</v>
      </c>
      <c r="G28" s="21">
        <v>245000.0</v>
      </c>
    </row>
    <row r="29" ht="13.5" customHeight="1">
      <c r="A29" s="15" t="s">
        <v>1433</v>
      </c>
      <c r="B29" s="52" t="s">
        <v>1434</v>
      </c>
      <c r="C29" s="17" t="str">
        <f>HYPERLINK("https://ra-matina.ru/?vendor_code=KrsupN003А")</f>
        <v>https://ra-matina.ru/?vendor_code=KrsupN003А</v>
      </c>
      <c r="D29" s="15" t="s">
        <v>28</v>
      </c>
      <c r="E29" s="19" t="s">
        <v>1386</v>
      </c>
      <c r="F29" s="15" t="s">
        <v>15</v>
      </c>
      <c r="G29" s="21">
        <v>210000.0</v>
      </c>
    </row>
    <row r="30" ht="13.5" customHeight="1">
      <c r="A30" s="27" t="s">
        <v>1435</v>
      </c>
      <c r="B30" s="58" t="s">
        <v>1436</v>
      </c>
      <c r="C30" s="29" t="s">
        <v>1437</v>
      </c>
      <c r="D30" s="27" t="s">
        <v>21</v>
      </c>
      <c r="E30" s="19" t="s">
        <v>1390</v>
      </c>
      <c r="F30" s="27" t="s">
        <v>15</v>
      </c>
      <c r="G30" s="25" t="s">
        <v>1438</v>
      </c>
    </row>
    <row r="31" ht="13.5" customHeight="1">
      <c r="A31" s="15" t="s">
        <v>1439</v>
      </c>
      <c r="B31" s="52" t="s">
        <v>1440</v>
      </c>
      <c r="C31" s="17" t="str">
        <f>HYPERLINK("https://ra-matina.ru/?vendor_code=KrsupN004А")</f>
        <v>https://ra-matina.ru/?vendor_code=KrsupN004А</v>
      </c>
      <c r="D31" s="15" t="s">
        <v>28</v>
      </c>
      <c r="E31" s="19" t="s">
        <v>1386</v>
      </c>
      <c r="F31" s="15" t="s">
        <v>15</v>
      </c>
      <c r="G31" s="21">
        <v>150000.0</v>
      </c>
    </row>
    <row r="32" ht="13.5" customHeight="1">
      <c r="A32" s="15" t="s">
        <v>1441</v>
      </c>
      <c r="B32" s="52" t="s">
        <v>1440</v>
      </c>
      <c r="C32" s="17" t="str">
        <f>HYPERLINK("https://ra-matina.ru/?vendor_code=KrsupN005Б")</f>
        <v>https://ra-matina.ru/?vendor_code=KrsupN005Б</v>
      </c>
      <c r="D32" s="15" t="s">
        <v>21</v>
      </c>
      <c r="E32" s="19" t="s">
        <v>1386</v>
      </c>
      <c r="F32" s="15" t="s">
        <v>15</v>
      </c>
      <c r="G32" s="21">
        <v>125000.0</v>
      </c>
    </row>
    <row r="33" ht="13.5" customHeight="1">
      <c r="A33" s="27" t="s">
        <v>1442</v>
      </c>
      <c r="B33" s="58" t="s">
        <v>1443</v>
      </c>
      <c r="C33" s="29" t="s">
        <v>1444</v>
      </c>
      <c r="D33" s="27" t="s">
        <v>1445</v>
      </c>
      <c r="E33" s="19" t="s">
        <v>1396</v>
      </c>
      <c r="F33" s="15" t="s">
        <v>15</v>
      </c>
      <c r="G33" s="25" t="s">
        <v>1430</v>
      </c>
    </row>
    <row r="34" ht="13.5" customHeight="1">
      <c r="A34" s="15" t="s">
        <v>1446</v>
      </c>
      <c r="B34" s="52" t="s">
        <v>1447</v>
      </c>
      <c r="C34" s="17" t="str">
        <f>HYPERLINK("https://ra-matina.ru/?vendor_code=KrsupN005_1А")</f>
        <v>https://ra-matina.ru/?vendor_code=KrsupN005_1А</v>
      </c>
      <c r="D34" s="15" t="s">
        <v>28</v>
      </c>
      <c r="E34" s="19" t="s">
        <v>1386</v>
      </c>
      <c r="F34" s="15" t="s">
        <v>15</v>
      </c>
      <c r="G34" s="21">
        <v>150000.0</v>
      </c>
    </row>
    <row r="35" ht="13.5" customHeight="1">
      <c r="A35" s="15" t="s">
        <v>1448</v>
      </c>
      <c r="B35" s="52" t="s">
        <v>1449</v>
      </c>
      <c r="C35" s="17" t="str">
        <f>HYPERLINK("https://ra-matina.ru/?vendor_code=KrsupN005_1Б")</f>
        <v>https://ra-matina.ru/?vendor_code=KrsupN005_1Б</v>
      </c>
      <c r="D35" s="15" t="s">
        <v>21</v>
      </c>
      <c r="E35" s="19" t="s">
        <v>1386</v>
      </c>
      <c r="F35" s="15" t="s">
        <v>15</v>
      </c>
      <c r="G35" s="21">
        <v>150000.0</v>
      </c>
    </row>
    <row r="36" ht="13.5" customHeight="1">
      <c r="A36" s="51" t="s">
        <v>1450</v>
      </c>
      <c r="B36" s="59" t="s">
        <v>1451</v>
      </c>
      <c r="C36" s="17" t="str">
        <f>HYPERLINK("https://ra-matina.ru/?vendor_code=pa_195")</f>
        <v>https://ra-matina.ru/?vendor_code=pa_195</v>
      </c>
      <c r="D36" s="18" t="s">
        <v>302</v>
      </c>
      <c r="E36" s="19" t="s">
        <v>1396</v>
      </c>
      <c r="F36" s="18" t="s">
        <v>15</v>
      </c>
      <c r="G36" s="20" t="s">
        <v>1452</v>
      </c>
    </row>
    <row r="37" ht="13.5" customHeight="1">
      <c r="A37" s="51" t="s">
        <v>1453</v>
      </c>
      <c r="B37" s="59" t="s">
        <v>1454</v>
      </c>
      <c r="C37" s="17" t="str">
        <f>HYPERLINK("https://ra-matina.ru/?vendor_code=pa_194")</f>
        <v>https://ra-matina.ru/?vendor_code=pa_194</v>
      </c>
      <c r="D37" s="53" t="s">
        <v>18</v>
      </c>
      <c r="E37" s="19" t="s">
        <v>1396</v>
      </c>
      <c r="F37" s="18" t="s">
        <v>15</v>
      </c>
      <c r="G37" s="54" t="s">
        <v>1430</v>
      </c>
    </row>
    <row r="38" ht="13.5" customHeight="1">
      <c r="A38" s="51" t="s">
        <v>1455</v>
      </c>
      <c r="B38" s="59" t="s">
        <v>1456</v>
      </c>
      <c r="C38" s="24" t="s">
        <v>1457</v>
      </c>
      <c r="D38" s="53" t="s">
        <v>1376</v>
      </c>
      <c r="E38" s="19" t="s">
        <v>1377</v>
      </c>
      <c r="F38" s="18" t="s">
        <v>15</v>
      </c>
      <c r="G38" s="60" t="s">
        <v>1458</v>
      </c>
    </row>
    <row r="39" ht="13.5" customHeight="1">
      <c r="A39" s="61" t="s">
        <v>1459</v>
      </c>
      <c r="B39" s="59" t="s">
        <v>1456</v>
      </c>
      <c r="C39" s="62" t="s">
        <v>1460</v>
      </c>
      <c r="D39" s="63" t="s">
        <v>21</v>
      </c>
      <c r="E39" s="19" t="s">
        <v>1377</v>
      </c>
      <c r="F39" s="18" t="s">
        <v>15</v>
      </c>
      <c r="G39" s="60" t="s">
        <v>1403</v>
      </c>
    </row>
    <row r="40" ht="13.5" customHeight="1">
      <c r="A40" s="51" t="s">
        <v>1461</v>
      </c>
      <c r="B40" s="59" t="s">
        <v>1462</v>
      </c>
      <c r="C40" s="17" t="str">
        <f>HYPERLINK("https://ra-matina.ru/?vendor_code=pa_240")</f>
        <v>https://ra-matina.ru/?vendor_code=pa_240</v>
      </c>
      <c r="D40" s="18" t="s">
        <v>13</v>
      </c>
      <c r="E40" s="19" t="s">
        <v>1396</v>
      </c>
      <c r="F40" s="18" t="s">
        <v>15</v>
      </c>
      <c r="G40" s="20" t="s">
        <v>1452</v>
      </c>
    </row>
    <row r="41" ht="13.5" customHeight="1">
      <c r="A41" s="51" t="s">
        <v>1463</v>
      </c>
      <c r="B41" s="59" t="s">
        <v>1464</v>
      </c>
      <c r="C41" s="17" t="str">
        <f>HYPERLINK("https://ra-matina.ru/?vendor_code=pa_241")</f>
        <v>https://ra-matina.ru/?vendor_code=pa_241</v>
      </c>
      <c r="D41" s="18" t="s">
        <v>31</v>
      </c>
      <c r="E41" s="19" t="s">
        <v>1396</v>
      </c>
      <c r="F41" s="18" t="s">
        <v>15</v>
      </c>
      <c r="G41" s="54" t="s">
        <v>1428</v>
      </c>
    </row>
    <row r="42" ht="15.75" customHeight="1">
      <c r="B42" s="64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A1:A4"/>
    <mergeCell ref="B1:G1"/>
    <mergeCell ref="B2:G2"/>
    <mergeCell ref="B4:G4"/>
    <mergeCell ref="A6:G6"/>
    <mergeCell ref="A7:G7"/>
  </mergeCells>
  <hyperlinks>
    <hyperlink r:id="rId1" ref="C8"/>
    <hyperlink r:id="rId2" ref="C10"/>
    <hyperlink r:id="rId3" ref="C13"/>
    <hyperlink r:id="rId4" ref="C15"/>
    <hyperlink r:id="rId5" ref="C18"/>
    <hyperlink r:id="rId6" ref="C30"/>
    <hyperlink r:id="rId7" ref="C33"/>
    <hyperlink r:id="rId8" ref="C38"/>
    <hyperlink r:id="rId9" ref="C39"/>
  </hyperlinks>
  <printOptions/>
  <pageMargins bottom="0.75" footer="0.0" header="0.0" left="0.7" right="0.7" top="0.75"/>
  <pageSetup paperSize="9" orientation="portrait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3" width="46.29"/>
    <col customWidth="1" min="4" max="4" width="6.86"/>
    <col customWidth="1" min="5" max="5" width="12.0"/>
    <col customWidth="1" min="6" max="6" width="13.43"/>
    <col customWidth="1" min="7" max="7" width="17.0"/>
    <col customWidth="1" min="8" max="8" width="8.86"/>
    <col customWidth="1" min="9" max="9" width="8.57"/>
    <col customWidth="1" min="10" max="10" width="13.43"/>
    <col customWidth="1" min="11" max="11" width="13.0"/>
    <col customWidth="1" min="12" max="12" width="12.57"/>
    <col customWidth="1" min="13" max="13" width="12.86"/>
    <col customWidth="1" min="14" max="14" width="14.43"/>
    <col customWidth="1" min="15" max="15" width="12.71"/>
    <col customWidth="1" min="16" max="16" width="13.71"/>
    <col customWidth="1" min="17" max="36" width="9.14"/>
  </cols>
  <sheetData>
    <row r="1" ht="15.0" customHeight="1">
      <c r="A1" s="40"/>
      <c r="B1" s="41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</row>
    <row r="2" ht="14.25" customHeight="1">
      <c r="A2" s="42"/>
      <c r="B2" s="66" t="s">
        <v>746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ht="14.25" customHeight="1">
      <c r="A3" s="42"/>
      <c r="B3" s="68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</row>
    <row r="4" ht="52.5" customHeight="1">
      <c r="A4" s="42"/>
      <c r="B4" s="6" t="s">
        <v>747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ht="21.0" customHeight="1">
      <c r="A5" s="42"/>
      <c r="B5" s="6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ht="39.75" customHeight="1">
      <c r="A6" s="70" t="s">
        <v>1465</v>
      </c>
      <c r="B6" s="70" t="s">
        <v>1466</v>
      </c>
      <c r="C6" s="9" t="s">
        <v>4</v>
      </c>
      <c r="D6" s="70" t="s">
        <v>5</v>
      </c>
      <c r="E6" s="70" t="s">
        <v>1467</v>
      </c>
      <c r="F6" s="70" t="s">
        <v>1468</v>
      </c>
      <c r="G6" s="70" t="s">
        <v>1469</v>
      </c>
      <c r="H6" s="70" t="s">
        <v>1470</v>
      </c>
      <c r="I6" s="70" t="s">
        <v>1471</v>
      </c>
      <c r="J6" s="46" t="s">
        <v>1472</v>
      </c>
      <c r="K6" s="71" t="s">
        <v>1473</v>
      </c>
      <c r="L6" s="12"/>
      <c r="M6" s="13"/>
      <c r="N6" s="71" t="s">
        <v>1474</v>
      </c>
      <c r="O6" s="12"/>
      <c r="P6" s="13"/>
      <c r="Q6" s="72"/>
      <c r="R6" s="72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ht="21.0" customHeight="1">
      <c r="A7" s="74"/>
      <c r="B7" s="48" t="s">
        <v>1475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  <c r="Q7" s="74"/>
      <c r="R7" s="74"/>
      <c r="S7" s="74"/>
      <c r="T7" s="74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</row>
    <row r="8" ht="14.25" customHeight="1">
      <c r="A8" s="14" t="s">
        <v>1476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ht="13.5" customHeight="1">
      <c r="A9" s="76" t="s">
        <v>1477</v>
      </c>
      <c r="B9" s="77" t="s">
        <v>1478</v>
      </c>
      <c r="C9" s="78" t="s">
        <v>1479</v>
      </c>
      <c r="D9" s="76" t="s">
        <v>28</v>
      </c>
      <c r="E9" s="79" t="s">
        <v>1480</v>
      </c>
      <c r="F9" s="80" t="s">
        <v>1481</v>
      </c>
      <c r="G9" s="81" t="s">
        <v>1482</v>
      </c>
      <c r="H9" s="82" t="s">
        <v>1483</v>
      </c>
      <c r="I9" s="82" t="s">
        <v>1483</v>
      </c>
      <c r="J9" s="81"/>
      <c r="K9" s="79" t="s">
        <v>1484</v>
      </c>
      <c r="L9" s="79" t="s">
        <v>1485</v>
      </c>
      <c r="M9" s="79" t="s">
        <v>1486</v>
      </c>
      <c r="N9" s="76" t="s">
        <v>1484</v>
      </c>
      <c r="O9" s="76" t="s">
        <v>1485</v>
      </c>
      <c r="P9" s="76" t="s">
        <v>1486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</row>
    <row r="10" ht="13.5" customHeight="1">
      <c r="A10" s="76"/>
      <c r="B10" s="77"/>
      <c r="C10" s="78"/>
      <c r="D10" s="84"/>
      <c r="E10" s="79"/>
      <c r="F10" s="80"/>
      <c r="G10" s="81"/>
      <c r="H10" s="82"/>
      <c r="I10" s="82"/>
      <c r="J10" s="81" t="s">
        <v>1487</v>
      </c>
      <c r="K10" s="79">
        <v>28800.0</v>
      </c>
      <c r="L10" s="79">
        <v>14400.0</v>
      </c>
      <c r="M10" s="79">
        <v>7200.0</v>
      </c>
      <c r="N10" s="76">
        <v>60000.0</v>
      </c>
      <c r="O10" s="76">
        <v>80000.0</v>
      </c>
      <c r="P10" s="76">
        <v>100000.0</v>
      </c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ht="13.5" customHeight="1">
      <c r="A11" s="76"/>
      <c r="B11" s="77"/>
      <c r="C11" s="78"/>
      <c r="D11" s="84"/>
      <c r="E11" s="79"/>
      <c r="F11" s="80"/>
      <c r="G11" s="81"/>
      <c r="H11" s="82"/>
      <c r="I11" s="82"/>
      <c r="J11" s="81" t="s">
        <v>1488</v>
      </c>
      <c r="K11" s="79">
        <v>28800.0</v>
      </c>
      <c r="L11" s="79">
        <v>14400.0</v>
      </c>
      <c r="M11" s="79">
        <v>7200.0</v>
      </c>
      <c r="N11" s="76">
        <v>120000.0</v>
      </c>
      <c r="O11" s="76">
        <v>160000.0</v>
      </c>
      <c r="P11" s="76">
        <v>200000.0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ht="13.5" customHeight="1">
      <c r="A12" s="76" t="s">
        <v>1489</v>
      </c>
      <c r="B12" s="85" t="s">
        <v>1490</v>
      </c>
      <c r="C12" s="86" t="str">
        <f>HYPERLINK("https://ra-matina.ru/?vendor_code=KrbilN104А5")</f>
        <v>https://ra-matina.ru/?vendor_code=KrbilN104А5</v>
      </c>
      <c r="D12" s="87" t="s">
        <v>760</v>
      </c>
      <c r="E12" s="88" t="s">
        <v>1483</v>
      </c>
      <c r="F12" s="89" t="s">
        <v>1483</v>
      </c>
      <c r="G12" s="90" t="s">
        <v>1483</v>
      </c>
      <c r="H12" s="91" t="s">
        <v>1483</v>
      </c>
      <c r="I12" s="91" t="s">
        <v>1483</v>
      </c>
      <c r="J12" s="90" t="s">
        <v>1487</v>
      </c>
      <c r="K12" s="88">
        <v>37200.0</v>
      </c>
      <c r="L12" s="88" t="s">
        <v>1483</v>
      </c>
      <c r="M12" s="88" t="s">
        <v>1483</v>
      </c>
      <c r="N12" s="92">
        <v>380000.0</v>
      </c>
      <c r="O12" s="92" t="s">
        <v>1483</v>
      </c>
      <c r="P12" s="92" t="s">
        <v>1483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</row>
    <row r="13" ht="13.5" customHeight="1">
      <c r="A13" s="93"/>
      <c r="B13" s="94"/>
      <c r="C13" s="94"/>
      <c r="D13" s="95"/>
      <c r="E13" s="96" t="s">
        <v>1483</v>
      </c>
      <c r="F13" s="97" t="s">
        <v>1483</v>
      </c>
      <c r="G13" s="98" t="s">
        <v>1483</v>
      </c>
      <c r="H13" s="99" t="s">
        <v>1483</v>
      </c>
      <c r="I13" s="99" t="s">
        <v>1483</v>
      </c>
      <c r="J13" s="98" t="s">
        <v>1487</v>
      </c>
      <c r="K13" s="96" t="s">
        <v>1483</v>
      </c>
      <c r="L13" s="96">
        <v>18600.0</v>
      </c>
      <c r="M13" s="96"/>
      <c r="N13" s="100" t="s">
        <v>1483</v>
      </c>
      <c r="O13" s="100">
        <v>220000.0</v>
      </c>
      <c r="P13" s="100" t="s">
        <v>1483</v>
      </c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</row>
    <row r="14" ht="13.5" customHeight="1">
      <c r="A14" s="93"/>
      <c r="B14" s="94"/>
      <c r="C14" s="94"/>
      <c r="D14" s="95"/>
      <c r="E14" s="96" t="s">
        <v>1483</v>
      </c>
      <c r="F14" s="97" t="s">
        <v>1483</v>
      </c>
      <c r="G14" s="98" t="s">
        <v>1483</v>
      </c>
      <c r="H14" s="99" t="s">
        <v>1483</v>
      </c>
      <c r="I14" s="99" t="s">
        <v>1483</v>
      </c>
      <c r="J14" s="98" t="s">
        <v>1487</v>
      </c>
      <c r="K14" s="96" t="s">
        <v>1483</v>
      </c>
      <c r="L14" s="96" t="s">
        <v>1483</v>
      </c>
      <c r="M14" s="96">
        <v>7440.0</v>
      </c>
      <c r="N14" s="100" t="s">
        <v>1483</v>
      </c>
      <c r="O14" s="100" t="s">
        <v>1483</v>
      </c>
      <c r="P14" s="100">
        <v>100000.0</v>
      </c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</row>
    <row r="15" ht="13.5" customHeight="1">
      <c r="A15" s="93" t="s">
        <v>1491</v>
      </c>
      <c r="B15" s="94" t="s">
        <v>1490</v>
      </c>
      <c r="C15" s="101" t="str">
        <f>HYPERLINK("https://ra-matina.ru/?vendor_code=KrbilN104Б5")</f>
        <v>https://ra-matina.ru/?vendor_code=KrbilN104Б5</v>
      </c>
      <c r="D15" s="95" t="s">
        <v>770</v>
      </c>
      <c r="E15" s="96" t="s">
        <v>1483</v>
      </c>
      <c r="F15" s="97" t="s">
        <v>1483</v>
      </c>
      <c r="G15" s="98" t="s">
        <v>1483</v>
      </c>
      <c r="H15" s="99" t="s">
        <v>1483</v>
      </c>
      <c r="I15" s="99" t="s">
        <v>1483</v>
      </c>
      <c r="J15" s="98" t="s">
        <v>1488</v>
      </c>
      <c r="K15" s="96">
        <v>37200.0</v>
      </c>
      <c r="L15" s="96" t="s">
        <v>1483</v>
      </c>
      <c r="M15" s="96" t="s">
        <v>1483</v>
      </c>
      <c r="N15" s="102">
        <v>630000.0</v>
      </c>
      <c r="O15" s="100" t="s">
        <v>1483</v>
      </c>
      <c r="P15" s="100" t="s">
        <v>1483</v>
      </c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</row>
    <row r="16" ht="13.5" customHeight="1">
      <c r="A16" s="93"/>
      <c r="B16" s="94"/>
      <c r="C16" s="94"/>
      <c r="D16" s="103"/>
      <c r="E16" s="96" t="s">
        <v>1483</v>
      </c>
      <c r="F16" s="97" t="s">
        <v>1483</v>
      </c>
      <c r="G16" s="98" t="s">
        <v>1483</v>
      </c>
      <c r="H16" s="99" t="s">
        <v>1483</v>
      </c>
      <c r="I16" s="99" t="s">
        <v>1483</v>
      </c>
      <c r="J16" s="98" t="s">
        <v>1488</v>
      </c>
      <c r="K16" s="96" t="s">
        <v>1483</v>
      </c>
      <c r="L16" s="96">
        <v>18600.0</v>
      </c>
      <c r="M16" s="96" t="s">
        <v>1483</v>
      </c>
      <c r="N16" s="100" t="s">
        <v>1483</v>
      </c>
      <c r="O16" s="102">
        <v>374000.0</v>
      </c>
      <c r="P16" s="100" t="s">
        <v>1483</v>
      </c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ht="13.5" customHeight="1">
      <c r="A17" s="93"/>
      <c r="B17" s="94"/>
      <c r="C17" s="94"/>
      <c r="D17" s="103"/>
      <c r="E17" s="96" t="s">
        <v>1483</v>
      </c>
      <c r="F17" s="97" t="s">
        <v>1483</v>
      </c>
      <c r="G17" s="98" t="s">
        <v>1483</v>
      </c>
      <c r="H17" s="99" t="s">
        <v>1483</v>
      </c>
      <c r="I17" s="99" t="s">
        <v>1483</v>
      </c>
      <c r="J17" s="98" t="s">
        <v>1488</v>
      </c>
      <c r="K17" s="96" t="s">
        <v>1483</v>
      </c>
      <c r="L17" s="96" t="s">
        <v>1483</v>
      </c>
      <c r="M17" s="96">
        <v>7440.0</v>
      </c>
      <c r="N17" s="100" t="s">
        <v>1483</v>
      </c>
      <c r="O17" s="100" t="s">
        <v>1483</v>
      </c>
      <c r="P17" s="100">
        <v>170000.0</v>
      </c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</row>
    <row r="18" ht="13.5" customHeight="1">
      <c r="A18" s="93"/>
      <c r="B18" s="94"/>
      <c r="C18" s="94"/>
      <c r="D18" s="103"/>
      <c r="E18" s="96"/>
      <c r="F18" s="97"/>
      <c r="G18" s="98"/>
      <c r="H18" s="99"/>
      <c r="I18" s="99"/>
      <c r="J18" s="98"/>
      <c r="K18" s="96" t="s">
        <v>1483</v>
      </c>
      <c r="L18" s="96" t="s">
        <v>1492</v>
      </c>
      <c r="M18" s="96" t="s">
        <v>1483</v>
      </c>
      <c r="N18" s="100" t="s">
        <v>1483</v>
      </c>
      <c r="O18" s="100" t="s">
        <v>1492</v>
      </c>
      <c r="P18" s="100" t="s">
        <v>1483</v>
      </c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</row>
    <row r="19" ht="13.5" customHeight="1">
      <c r="A19" s="93" t="s">
        <v>1493</v>
      </c>
      <c r="B19" s="94" t="s">
        <v>1494</v>
      </c>
      <c r="C19" s="101" t="s">
        <v>1495</v>
      </c>
      <c r="D19" s="104" t="s">
        <v>423</v>
      </c>
      <c r="E19" s="96" t="s">
        <v>1496</v>
      </c>
      <c r="F19" s="97" t="s">
        <v>1483</v>
      </c>
      <c r="G19" s="105" t="s">
        <v>1497</v>
      </c>
      <c r="H19" s="99" t="s">
        <v>1483</v>
      </c>
      <c r="I19" s="99" t="s">
        <v>1483</v>
      </c>
      <c r="J19" s="98" t="s">
        <v>1487</v>
      </c>
      <c r="K19" s="96" t="s">
        <v>1483</v>
      </c>
      <c r="L19" s="96">
        <v>9600.0</v>
      </c>
      <c r="M19" s="96" t="s">
        <v>1483</v>
      </c>
      <c r="N19" s="100" t="s">
        <v>1483</v>
      </c>
      <c r="O19" s="100">
        <v>20000.0</v>
      </c>
      <c r="P19" s="100" t="s">
        <v>1483</v>
      </c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</row>
    <row r="20" ht="13.5" customHeight="1">
      <c r="A20" s="93"/>
      <c r="B20" s="94"/>
      <c r="C20" s="94"/>
      <c r="D20" s="104"/>
      <c r="E20" s="96"/>
      <c r="F20" s="97"/>
      <c r="G20" s="105"/>
      <c r="H20" s="99"/>
      <c r="I20" s="99"/>
      <c r="J20" s="98" t="s">
        <v>1488</v>
      </c>
      <c r="K20" s="96" t="s">
        <v>1483</v>
      </c>
      <c r="L20" s="96">
        <v>9600.0</v>
      </c>
      <c r="M20" s="96" t="s">
        <v>1483</v>
      </c>
      <c r="N20" s="100" t="s">
        <v>1483</v>
      </c>
      <c r="O20" s="100">
        <v>30000.0</v>
      </c>
      <c r="P20" s="100" t="s">
        <v>1483</v>
      </c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</row>
    <row r="21" ht="13.5" customHeight="1">
      <c r="A21" s="53" t="s">
        <v>1498</v>
      </c>
      <c r="B21" s="16" t="s">
        <v>1499</v>
      </c>
      <c r="C21" s="106" t="str">
        <f>HYPERLINK("https://ra-matina.ru/?vendor_code=KrbilN105А5")</f>
        <v>https://ra-matina.ru/?vendor_code=KrbilN105А5</v>
      </c>
      <c r="D21" s="18" t="s">
        <v>28</v>
      </c>
      <c r="E21" s="107" t="s">
        <v>1500</v>
      </c>
      <c r="F21" s="108" t="s">
        <v>1483</v>
      </c>
      <c r="G21" s="105" t="s">
        <v>1497</v>
      </c>
      <c r="H21" s="108" t="s">
        <v>1483</v>
      </c>
      <c r="I21" s="108" t="s">
        <v>1483</v>
      </c>
      <c r="J21" s="108" t="s">
        <v>1487</v>
      </c>
      <c r="K21" s="22">
        <v>28800.0</v>
      </c>
      <c r="L21" s="22" t="s">
        <v>1483</v>
      </c>
      <c r="M21" s="22" t="s">
        <v>1483</v>
      </c>
      <c r="N21" s="18">
        <v>80000.0</v>
      </c>
      <c r="O21" s="18" t="s">
        <v>1483</v>
      </c>
      <c r="P21" s="18" t="s">
        <v>1483</v>
      </c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ht="13.5" customHeight="1">
      <c r="A22" s="18"/>
      <c r="B22" s="108"/>
      <c r="C22" s="108"/>
      <c r="D22" s="18"/>
      <c r="E22" s="22" t="s">
        <v>1483</v>
      </c>
      <c r="F22" s="108" t="s">
        <v>1483</v>
      </c>
      <c r="G22" s="108" t="s">
        <v>1483</v>
      </c>
      <c r="H22" s="108" t="s">
        <v>1483</v>
      </c>
      <c r="I22" s="108" t="s">
        <v>1483</v>
      </c>
      <c r="J22" s="108" t="s">
        <v>1487</v>
      </c>
      <c r="K22" s="22" t="s">
        <v>1483</v>
      </c>
      <c r="L22" s="22">
        <v>14400.0</v>
      </c>
      <c r="M22" s="22" t="s">
        <v>1483</v>
      </c>
      <c r="N22" s="18" t="s">
        <v>1483</v>
      </c>
      <c r="O22" s="18">
        <v>45000.0</v>
      </c>
      <c r="P22" s="18" t="s">
        <v>1483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ht="13.5" customHeight="1">
      <c r="A23" s="18"/>
      <c r="B23" s="108"/>
      <c r="C23" s="108"/>
      <c r="D23" s="18"/>
      <c r="E23" s="22" t="s">
        <v>1483</v>
      </c>
      <c r="F23" s="108" t="s">
        <v>1483</v>
      </c>
      <c r="G23" s="108" t="s">
        <v>1483</v>
      </c>
      <c r="H23" s="108" t="s">
        <v>1483</v>
      </c>
      <c r="I23" s="108" t="s">
        <v>1483</v>
      </c>
      <c r="J23" s="108" t="s">
        <v>1487</v>
      </c>
      <c r="K23" s="22" t="s">
        <v>1483</v>
      </c>
      <c r="L23" s="22" t="s">
        <v>1483</v>
      </c>
      <c r="M23" s="22">
        <v>7200.0</v>
      </c>
      <c r="N23" s="18" t="s">
        <v>1483</v>
      </c>
      <c r="O23" s="18" t="s">
        <v>1483</v>
      </c>
      <c r="P23" s="18">
        <v>25000.0</v>
      </c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ht="13.5" customHeight="1">
      <c r="A24" s="18"/>
      <c r="B24" s="108"/>
      <c r="C24" s="108"/>
      <c r="D24" s="18"/>
      <c r="E24" s="22" t="s">
        <v>1483</v>
      </c>
      <c r="F24" s="108" t="s">
        <v>1483</v>
      </c>
      <c r="G24" s="108" t="s">
        <v>1483</v>
      </c>
      <c r="H24" s="108" t="s">
        <v>1483</v>
      </c>
      <c r="I24" s="108" t="s">
        <v>1483</v>
      </c>
      <c r="J24" s="108" t="s">
        <v>1488</v>
      </c>
      <c r="K24" s="22">
        <v>28800.0</v>
      </c>
      <c r="L24" s="22" t="s">
        <v>1483</v>
      </c>
      <c r="M24" s="22" t="s">
        <v>1483</v>
      </c>
      <c r="N24" s="18">
        <v>160000.0</v>
      </c>
      <c r="O24" s="18" t="s">
        <v>1483</v>
      </c>
      <c r="P24" s="18" t="s">
        <v>1483</v>
      </c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ht="13.5" customHeight="1">
      <c r="A25" s="18"/>
      <c r="B25" s="108"/>
      <c r="C25" s="108"/>
      <c r="D25" s="18"/>
      <c r="E25" s="22" t="s">
        <v>1483</v>
      </c>
      <c r="F25" s="108" t="s">
        <v>1483</v>
      </c>
      <c r="G25" s="108" t="s">
        <v>1483</v>
      </c>
      <c r="H25" s="108" t="s">
        <v>1483</v>
      </c>
      <c r="I25" s="108" t="s">
        <v>1483</v>
      </c>
      <c r="J25" s="108" t="s">
        <v>1488</v>
      </c>
      <c r="K25" s="22" t="s">
        <v>1483</v>
      </c>
      <c r="L25" s="22">
        <v>14400.0</v>
      </c>
      <c r="M25" s="22" t="s">
        <v>1483</v>
      </c>
      <c r="N25" s="18" t="s">
        <v>1483</v>
      </c>
      <c r="O25" s="18">
        <v>90000.0</v>
      </c>
      <c r="P25" s="18" t="s">
        <v>1483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ht="13.5" customHeight="1">
      <c r="A26" s="18"/>
      <c r="B26" s="108"/>
      <c r="C26" s="108"/>
      <c r="D26" s="18"/>
      <c r="E26" s="22" t="s">
        <v>1483</v>
      </c>
      <c r="F26" s="108" t="s">
        <v>1483</v>
      </c>
      <c r="G26" s="108" t="s">
        <v>1483</v>
      </c>
      <c r="H26" s="108" t="s">
        <v>1483</v>
      </c>
      <c r="I26" s="108" t="s">
        <v>1483</v>
      </c>
      <c r="J26" s="108" t="s">
        <v>1488</v>
      </c>
      <c r="K26" s="22" t="s">
        <v>1483</v>
      </c>
      <c r="L26" s="22" t="s">
        <v>1483</v>
      </c>
      <c r="M26" s="22">
        <v>7200.0</v>
      </c>
      <c r="N26" s="18" t="s">
        <v>1483</v>
      </c>
      <c r="O26" s="18" t="s">
        <v>1483</v>
      </c>
      <c r="P26" s="18">
        <v>50000.0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ht="13.5" customHeight="1">
      <c r="A27" s="110" t="s">
        <v>1501</v>
      </c>
      <c r="B27" s="59" t="s">
        <v>1502</v>
      </c>
      <c r="C27" s="106" t="str">
        <f>HYPERLINK("https://ra-matina.ru/?vendor_code=KRD0004A41KLDH")</f>
        <v>https://ra-matina.ru/?vendor_code=KRD0004A41KLDH</v>
      </c>
      <c r="D27" s="110" t="s">
        <v>1503</v>
      </c>
      <c r="E27" s="22" t="s">
        <v>1504</v>
      </c>
      <c r="F27" s="108" t="s">
        <v>1483</v>
      </c>
      <c r="G27" s="108" t="s">
        <v>1483</v>
      </c>
      <c r="H27" s="108" t="s">
        <v>1483</v>
      </c>
      <c r="I27" s="108" t="s">
        <v>1483</v>
      </c>
      <c r="J27" s="108" t="s">
        <v>1487</v>
      </c>
      <c r="K27" s="22" t="s">
        <v>1483</v>
      </c>
      <c r="L27" s="22" t="s">
        <v>1483</v>
      </c>
      <c r="M27" s="22" t="s">
        <v>1483</v>
      </c>
      <c r="N27" s="18" t="s">
        <v>1483</v>
      </c>
      <c r="O27" s="18">
        <v>36000.0</v>
      </c>
      <c r="P27" s="18" t="s">
        <v>1483</v>
      </c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ht="13.5" customHeight="1">
      <c r="A28" s="110" t="s">
        <v>1505</v>
      </c>
      <c r="B28" s="59" t="s">
        <v>1506</v>
      </c>
      <c r="C28" s="106" t="s">
        <v>1507</v>
      </c>
      <c r="D28" s="110" t="s">
        <v>423</v>
      </c>
      <c r="E28" s="22" t="s">
        <v>1508</v>
      </c>
      <c r="F28" s="108" t="s">
        <v>1509</v>
      </c>
      <c r="G28" s="111" t="s">
        <v>1482</v>
      </c>
      <c r="H28" s="108" t="s">
        <v>1483</v>
      </c>
      <c r="I28" s="108" t="s">
        <v>1483</v>
      </c>
      <c r="J28" s="108"/>
      <c r="K28" s="22" t="s">
        <v>1484</v>
      </c>
      <c r="L28" s="22" t="s">
        <v>1485</v>
      </c>
      <c r="M28" s="22" t="s">
        <v>1486</v>
      </c>
      <c r="N28" s="18" t="s">
        <v>1484</v>
      </c>
      <c r="O28" s="18" t="s">
        <v>1485</v>
      </c>
      <c r="P28" s="18" t="s">
        <v>1486</v>
      </c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ht="13.5" customHeight="1">
      <c r="A29" s="110"/>
      <c r="B29" s="59"/>
      <c r="C29" s="106"/>
      <c r="D29" s="110"/>
      <c r="E29" s="22"/>
      <c r="F29" s="108"/>
      <c r="G29" s="111"/>
      <c r="H29" s="108"/>
      <c r="I29" s="108"/>
      <c r="J29" s="108" t="s">
        <v>1487</v>
      </c>
      <c r="K29" s="22">
        <v>28800.0</v>
      </c>
      <c r="L29" s="22">
        <v>14400.0</v>
      </c>
      <c r="M29" s="22">
        <v>7200.0</v>
      </c>
      <c r="N29" s="18">
        <v>100000.0</v>
      </c>
      <c r="O29" s="18">
        <v>80000.0</v>
      </c>
      <c r="P29" s="18">
        <v>60000.0</v>
      </c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</row>
    <row r="30" ht="13.5" customHeight="1">
      <c r="A30" s="110"/>
      <c r="B30" s="59"/>
      <c r="C30" s="106"/>
      <c r="D30" s="110"/>
      <c r="E30" s="22"/>
      <c r="F30" s="108"/>
      <c r="G30" s="111"/>
      <c r="H30" s="108"/>
      <c r="I30" s="108"/>
      <c r="J30" s="108" t="s">
        <v>1488</v>
      </c>
      <c r="K30" s="22">
        <v>28800.0</v>
      </c>
      <c r="L30" s="22">
        <v>14400.0</v>
      </c>
      <c r="M30" s="22">
        <v>7200.0</v>
      </c>
      <c r="N30" s="18">
        <v>20000.0</v>
      </c>
      <c r="O30" s="18">
        <v>160000.0</v>
      </c>
      <c r="P30" s="18">
        <v>120000.0</v>
      </c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</row>
    <row r="31" ht="13.5" customHeight="1">
      <c r="A31" s="51" t="s">
        <v>1510</v>
      </c>
      <c r="B31" s="112" t="s">
        <v>1511</v>
      </c>
      <c r="C31" s="113" t="str">
        <f>HYPERLINK("https://ra-matina.ru/?vendor_code=DSS-1А")</f>
        <v>https://ra-matina.ru/?vendor_code=DSS-1А</v>
      </c>
      <c r="D31" s="114" t="s">
        <v>28</v>
      </c>
      <c r="E31" s="107" t="s">
        <v>1512</v>
      </c>
      <c r="F31" s="115" t="s">
        <v>1513</v>
      </c>
      <c r="G31" s="116" t="s">
        <v>1514</v>
      </c>
      <c r="H31" s="117">
        <v>2.9</v>
      </c>
      <c r="I31" s="117">
        <v>23.32</v>
      </c>
      <c r="J31" s="118"/>
      <c r="K31" s="119" t="s">
        <v>1484</v>
      </c>
      <c r="L31" s="119" t="s">
        <v>1485</v>
      </c>
      <c r="M31" s="119" t="s">
        <v>1515</v>
      </c>
      <c r="N31" s="120" t="s">
        <v>1516</v>
      </c>
      <c r="O31" s="120" t="s">
        <v>1517</v>
      </c>
      <c r="P31" s="120" t="s">
        <v>1518</v>
      </c>
      <c r="Q31" s="121"/>
      <c r="R31" s="121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</row>
    <row r="32" ht="13.5" customHeight="1">
      <c r="A32" s="51" t="s">
        <v>1519</v>
      </c>
      <c r="B32" s="112" t="s">
        <v>1520</v>
      </c>
      <c r="C32" s="113" t="str">
        <f>HYPERLINK("https://ra-matina.ru/?vendor_code=DSS-1Б")</f>
        <v>https://ra-matina.ru/?vendor_code=DSS-1Б</v>
      </c>
      <c r="D32" s="114" t="s">
        <v>21</v>
      </c>
      <c r="E32" s="107" t="s">
        <v>1512</v>
      </c>
      <c r="F32" s="115" t="s">
        <v>1513</v>
      </c>
      <c r="G32" s="116" t="s">
        <v>1514</v>
      </c>
      <c r="H32" s="117">
        <v>2.88</v>
      </c>
      <c r="I32" s="117">
        <v>23.17</v>
      </c>
      <c r="J32" s="118" t="s">
        <v>1487</v>
      </c>
      <c r="K32" s="107">
        <f t="shared" ref="K32:K34" si="1">60*20*30</f>
        <v>36000</v>
      </c>
      <c r="L32" s="107">
        <f t="shared" ref="L32:L34" si="2">30*20*30</f>
        <v>18000</v>
      </c>
      <c r="M32" s="107">
        <f t="shared" ref="M32:M34" si="3">12*20*30</f>
        <v>7200</v>
      </c>
      <c r="N32" s="51">
        <v>180000.0</v>
      </c>
      <c r="O32" s="51">
        <v>110000.0</v>
      </c>
      <c r="P32" s="51">
        <v>65000.0</v>
      </c>
      <c r="Q32" s="121"/>
      <c r="R32" s="121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</row>
    <row r="33" ht="13.5" customHeight="1">
      <c r="A33" s="122"/>
      <c r="B33" s="123"/>
      <c r="C33" s="123"/>
      <c r="D33" s="53"/>
      <c r="E33" s="124"/>
      <c r="F33" s="125"/>
      <c r="G33" s="126"/>
      <c r="H33" s="127"/>
      <c r="I33" s="128"/>
      <c r="J33" s="118" t="s">
        <v>1488</v>
      </c>
      <c r="K33" s="107">
        <f t="shared" si="1"/>
        <v>36000</v>
      </c>
      <c r="L33" s="107">
        <f t="shared" si="2"/>
        <v>18000</v>
      </c>
      <c r="M33" s="107">
        <f t="shared" si="3"/>
        <v>7200</v>
      </c>
      <c r="N33" s="51">
        <v>290000.0</v>
      </c>
      <c r="O33" s="51">
        <v>165000.0</v>
      </c>
      <c r="P33" s="51">
        <v>97000.0</v>
      </c>
      <c r="Q33" s="121"/>
      <c r="R33" s="121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</row>
    <row r="34" ht="15.75" customHeight="1">
      <c r="A34" s="122"/>
      <c r="B34" s="123"/>
      <c r="C34" s="123"/>
      <c r="D34" s="53"/>
      <c r="E34" s="124"/>
      <c r="F34" s="125"/>
      <c r="G34" s="126"/>
      <c r="H34" s="127"/>
      <c r="I34" s="128"/>
      <c r="J34" s="118" t="s">
        <v>1521</v>
      </c>
      <c r="K34" s="107">
        <f t="shared" si="1"/>
        <v>36000</v>
      </c>
      <c r="L34" s="107">
        <f t="shared" si="2"/>
        <v>18000</v>
      </c>
      <c r="M34" s="107">
        <f t="shared" si="3"/>
        <v>7200</v>
      </c>
      <c r="N34" s="51">
        <v>360000.0</v>
      </c>
      <c r="O34" s="51">
        <v>202000.0</v>
      </c>
      <c r="P34" s="51">
        <v>117000.0</v>
      </c>
      <c r="Q34" s="121"/>
      <c r="R34" s="121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</row>
    <row r="35" ht="15.75" customHeight="1">
      <c r="A35" s="122"/>
      <c r="B35" s="123"/>
      <c r="C35" s="123"/>
      <c r="D35" s="53"/>
      <c r="E35" s="124"/>
      <c r="F35" s="125"/>
      <c r="G35" s="126"/>
      <c r="H35" s="127"/>
      <c r="I35" s="128"/>
      <c r="J35" s="118"/>
      <c r="K35" s="107" t="s">
        <v>1484</v>
      </c>
      <c r="L35" s="107" t="s">
        <v>1485</v>
      </c>
      <c r="M35" s="107" t="s">
        <v>1486</v>
      </c>
      <c r="N35" s="51" t="s">
        <v>1484</v>
      </c>
      <c r="O35" s="51" t="s">
        <v>1485</v>
      </c>
      <c r="P35" s="51" t="s">
        <v>1486</v>
      </c>
      <c r="Q35" s="121"/>
      <c r="R35" s="121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</row>
    <row r="36" ht="15.75" customHeight="1">
      <c r="A36" s="53" t="s">
        <v>1522</v>
      </c>
      <c r="B36" s="129" t="s">
        <v>1523</v>
      </c>
      <c r="C36" s="130" t="s">
        <v>1524</v>
      </c>
      <c r="D36" s="53" t="s">
        <v>28</v>
      </c>
      <c r="E36" s="124" t="s">
        <v>1525</v>
      </c>
      <c r="F36" s="125" t="s">
        <v>1526</v>
      </c>
      <c r="G36" s="126" t="s">
        <v>1527</v>
      </c>
      <c r="H36" s="128" t="s">
        <v>1483</v>
      </c>
      <c r="I36" s="128" t="s">
        <v>1483</v>
      </c>
      <c r="J36" s="118" t="s">
        <v>1487</v>
      </c>
      <c r="K36" s="107">
        <v>28800.0</v>
      </c>
      <c r="L36" s="107">
        <v>14400.0</v>
      </c>
      <c r="M36" s="107">
        <v>7200.0</v>
      </c>
      <c r="N36" s="51">
        <v>60000.0</v>
      </c>
      <c r="O36" s="51">
        <v>35000.0</v>
      </c>
      <c r="P36" s="51">
        <v>18500.0</v>
      </c>
      <c r="Q36" s="121"/>
      <c r="R36" s="121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</row>
    <row r="37" ht="15.75" customHeight="1">
      <c r="A37" s="53"/>
      <c r="B37" s="123"/>
      <c r="C37" s="123"/>
      <c r="D37" s="53"/>
      <c r="E37" s="124"/>
      <c r="F37" s="125"/>
      <c r="G37" s="126"/>
      <c r="H37" s="127"/>
      <c r="I37" s="128"/>
      <c r="J37" s="118" t="s">
        <v>1488</v>
      </c>
      <c r="K37" s="107">
        <v>28800.0</v>
      </c>
      <c r="L37" s="107">
        <v>14400.0</v>
      </c>
      <c r="M37" s="107">
        <v>7200.0</v>
      </c>
      <c r="N37" s="51">
        <v>120000.0</v>
      </c>
      <c r="O37" s="51">
        <v>70000.0</v>
      </c>
      <c r="P37" s="51">
        <v>35000.0</v>
      </c>
      <c r="Q37" s="121"/>
      <c r="R37" s="121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</row>
    <row r="38" ht="15.75" customHeight="1">
      <c r="A38" s="53" t="s">
        <v>1528</v>
      </c>
      <c r="B38" s="129" t="s">
        <v>1523</v>
      </c>
      <c r="C38" s="130" t="s">
        <v>1529</v>
      </c>
      <c r="D38" s="53" t="s">
        <v>21</v>
      </c>
      <c r="E38" s="124" t="s">
        <v>1525</v>
      </c>
      <c r="F38" s="125" t="s">
        <v>1526</v>
      </c>
      <c r="G38" s="126" t="s">
        <v>1527</v>
      </c>
      <c r="H38" s="128" t="s">
        <v>1483</v>
      </c>
      <c r="I38" s="128" t="s">
        <v>1483</v>
      </c>
      <c r="J38" s="118" t="s">
        <v>1487</v>
      </c>
      <c r="K38" s="107">
        <v>28800.0</v>
      </c>
      <c r="L38" s="107">
        <v>14400.0</v>
      </c>
      <c r="M38" s="107">
        <v>7200.0</v>
      </c>
      <c r="N38" s="51">
        <v>60000.0</v>
      </c>
      <c r="O38" s="51">
        <v>35000.0</v>
      </c>
      <c r="P38" s="51">
        <v>18500.0</v>
      </c>
      <c r="Q38" s="121"/>
      <c r="R38" s="121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</row>
    <row r="39" ht="15.75" customHeight="1">
      <c r="A39" s="122"/>
      <c r="B39" s="123"/>
      <c r="C39" s="123"/>
      <c r="D39" s="53"/>
      <c r="E39" s="124"/>
      <c r="F39" s="125"/>
      <c r="G39" s="126"/>
      <c r="H39" s="127"/>
      <c r="I39" s="128"/>
      <c r="J39" s="118" t="s">
        <v>1488</v>
      </c>
      <c r="K39" s="107">
        <v>28800.0</v>
      </c>
      <c r="L39" s="107">
        <v>14400.0</v>
      </c>
      <c r="M39" s="107">
        <v>7200.0</v>
      </c>
      <c r="N39" s="51">
        <v>120000.0</v>
      </c>
      <c r="O39" s="51">
        <v>70000.0</v>
      </c>
      <c r="P39" s="51">
        <v>35000.0</v>
      </c>
      <c r="Q39" s="121"/>
      <c r="R39" s="121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</row>
    <row r="40" ht="15.75" customHeight="1">
      <c r="A40" s="15" t="s">
        <v>1530</v>
      </c>
      <c r="B40" s="59" t="s">
        <v>1531</v>
      </c>
      <c r="C40" s="106" t="str">
        <f>HYPERLINK("https://ra-matina.ru/?vendor_code=KrbilN034А5")</f>
        <v>https://ra-matina.ru/?vendor_code=KrbilN034А5</v>
      </c>
      <c r="D40" s="53" t="s">
        <v>760</v>
      </c>
      <c r="E40" s="22" t="s">
        <v>1483</v>
      </c>
      <c r="F40" s="108" t="s">
        <v>1483</v>
      </c>
      <c r="G40" s="108" t="s">
        <v>1483</v>
      </c>
      <c r="H40" s="131">
        <v>7.26</v>
      </c>
      <c r="I40" s="131">
        <v>58.29</v>
      </c>
      <c r="J40" s="108" t="s">
        <v>1487</v>
      </c>
      <c r="K40" s="22" t="s">
        <v>1483</v>
      </c>
      <c r="L40" s="22" t="s">
        <v>1483</v>
      </c>
      <c r="M40" s="22" t="s">
        <v>1483</v>
      </c>
      <c r="N40" s="18">
        <v>41000.0</v>
      </c>
      <c r="O40" s="18" t="s">
        <v>1483</v>
      </c>
      <c r="P40" s="18" t="s">
        <v>1483</v>
      </c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</row>
    <row r="41" ht="15.75" customHeight="1">
      <c r="A41" s="15" t="s">
        <v>1532</v>
      </c>
      <c r="B41" s="59" t="s">
        <v>1533</v>
      </c>
      <c r="C41" s="106" t="s">
        <v>1534</v>
      </c>
      <c r="D41" s="53"/>
      <c r="E41" s="22" t="s">
        <v>1535</v>
      </c>
      <c r="F41" s="108" t="s">
        <v>1536</v>
      </c>
      <c r="G41" s="108" t="s">
        <v>1537</v>
      </c>
      <c r="H41" s="131" t="s">
        <v>1483</v>
      </c>
      <c r="I41" s="132" t="s">
        <v>1483</v>
      </c>
      <c r="J41" s="108" t="s">
        <v>1487</v>
      </c>
      <c r="K41" s="22">
        <v>36000.0</v>
      </c>
      <c r="L41" s="22">
        <v>18000.0</v>
      </c>
      <c r="M41" s="22">
        <v>7200.0</v>
      </c>
      <c r="N41" s="18">
        <v>145800.0</v>
      </c>
      <c r="O41" s="18">
        <v>72900.0</v>
      </c>
      <c r="P41" s="18">
        <v>32400.0</v>
      </c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</row>
    <row r="42" ht="15.75" customHeight="1">
      <c r="A42" s="15"/>
      <c r="B42" s="59"/>
      <c r="C42" s="106"/>
      <c r="D42" s="53"/>
      <c r="E42" s="22"/>
      <c r="F42" s="108"/>
      <c r="G42" s="108"/>
      <c r="H42" s="131"/>
      <c r="I42" s="132"/>
      <c r="J42" s="108" t="s">
        <v>1488</v>
      </c>
      <c r="K42" s="22">
        <v>36000.0</v>
      </c>
      <c r="L42" s="22">
        <v>18000.0</v>
      </c>
      <c r="M42" s="22">
        <v>7200.0</v>
      </c>
      <c r="N42" s="18">
        <v>291600.0</v>
      </c>
      <c r="O42" s="18">
        <v>153900.0</v>
      </c>
      <c r="P42" s="18">
        <v>64800.0</v>
      </c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</row>
    <row r="43" ht="15.75" customHeight="1">
      <c r="A43" s="15"/>
      <c r="B43" s="59"/>
      <c r="C43" s="106"/>
      <c r="D43" s="53"/>
      <c r="E43" s="22"/>
      <c r="F43" s="108"/>
      <c r="G43" s="108"/>
      <c r="H43" s="131"/>
      <c r="I43" s="132"/>
      <c r="J43" s="108" t="s">
        <v>1521</v>
      </c>
      <c r="K43" s="22">
        <v>36000.0</v>
      </c>
      <c r="L43" s="22">
        <v>18000.0</v>
      </c>
      <c r="M43" s="22">
        <v>7200.0</v>
      </c>
      <c r="N43" s="18">
        <v>437400.0</v>
      </c>
      <c r="O43" s="18">
        <v>230850.0</v>
      </c>
      <c r="P43" s="18">
        <v>97200.0</v>
      </c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</row>
    <row r="44" ht="13.5" customHeight="1">
      <c r="A44" s="15" t="s">
        <v>1538</v>
      </c>
      <c r="B44" s="52" t="s">
        <v>1539</v>
      </c>
      <c r="C44" s="133" t="str">
        <f>HYPERLINK("https://ra-matina.ru/?vendor_code=KrbilN035А5")</f>
        <v>https://ra-matina.ru/?vendor_code=KrbilN035А5</v>
      </c>
      <c r="D44" s="53" t="s">
        <v>760</v>
      </c>
      <c r="E44" s="22" t="s">
        <v>1483</v>
      </c>
      <c r="F44" s="108" t="s">
        <v>1483</v>
      </c>
      <c r="G44" s="108" t="s">
        <v>1483</v>
      </c>
      <c r="H44" s="134">
        <v>8.19</v>
      </c>
      <c r="I44" s="135">
        <v>65.75</v>
      </c>
      <c r="J44" s="108" t="s">
        <v>1487</v>
      </c>
      <c r="K44" s="22" t="s">
        <v>1483</v>
      </c>
      <c r="L44" s="22" t="s">
        <v>1483</v>
      </c>
      <c r="M44" s="22" t="s">
        <v>1483</v>
      </c>
      <c r="N44" s="18">
        <v>41000.0</v>
      </c>
      <c r="O44" s="18" t="s">
        <v>1483</v>
      </c>
      <c r="P44" s="18" t="s">
        <v>1483</v>
      </c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</row>
    <row r="45" ht="13.5" customHeight="1">
      <c r="A45" s="18"/>
      <c r="B45" s="136"/>
      <c r="C45" s="137"/>
      <c r="D45" s="18"/>
      <c r="E45" s="22"/>
      <c r="F45" s="108"/>
      <c r="G45" s="108"/>
      <c r="H45" s="108"/>
      <c r="I45" s="138"/>
      <c r="J45" s="108"/>
      <c r="K45" s="22"/>
      <c r="L45" s="22"/>
      <c r="M45" s="22"/>
      <c r="N45" s="18"/>
      <c r="O45" s="18" t="s">
        <v>1515</v>
      </c>
      <c r="P45" s="18" t="s">
        <v>1540</v>
      </c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</row>
    <row r="46" ht="13.5" customHeight="1">
      <c r="A46" s="18" t="s">
        <v>1541</v>
      </c>
      <c r="B46" s="136" t="s">
        <v>1542</v>
      </c>
      <c r="C46" s="137" t="str">
        <f t="shared" ref="C46:C49" si="4">HYPERLINK("https://ra-matina.ru/?vendor_code=KRDDJ003")</f>
        <v>https://ra-matina.ru/?vendor_code=KRDDJ003</v>
      </c>
      <c r="D46" s="18" t="s">
        <v>1543</v>
      </c>
      <c r="E46" s="22" t="s">
        <v>1544</v>
      </c>
      <c r="F46" s="108" t="s">
        <v>1483</v>
      </c>
      <c r="G46" s="108" t="s">
        <v>1483</v>
      </c>
      <c r="H46" s="108" t="s">
        <v>1483</v>
      </c>
      <c r="I46" s="108" t="s">
        <v>1483</v>
      </c>
      <c r="J46" s="108" t="s">
        <v>1487</v>
      </c>
      <c r="K46" s="22" t="s">
        <v>1483</v>
      </c>
      <c r="L46" s="22" t="s">
        <v>1483</v>
      </c>
      <c r="M46" s="22">
        <v>4464.0</v>
      </c>
      <c r="N46" s="18" t="s">
        <v>1483</v>
      </c>
      <c r="O46" s="18">
        <v>256800.0</v>
      </c>
      <c r="P46" s="18" t="s">
        <v>1483</v>
      </c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</row>
    <row r="47" ht="13.5" customHeight="1">
      <c r="A47" s="18" t="s">
        <v>1541</v>
      </c>
      <c r="B47" s="136" t="s">
        <v>1542</v>
      </c>
      <c r="C47" s="137" t="str">
        <f t="shared" si="4"/>
        <v>https://ra-matina.ru/?vendor_code=KRDDJ003</v>
      </c>
      <c r="D47" s="18" t="s">
        <v>1543</v>
      </c>
      <c r="E47" s="22" t="s">
        <v>1544</v>
      </c>
      <c r="F47" s="108" t="s">
        <v>1483</v>
      </c>
      <c r="G47" s="108" t="s">
        <v>1483</v>
      </c>
      <c r="H47" s="108" t="s">
        <v>1483</v>
      </c>
      <c r="I47" s="108" t="s">
        <v>1483</v>
      </c>
      <c r="J47" s="108" t="s">
        <v>1488</v>
      </c>
      <c r="K47" s="22" t="s">
        <v>1483</v>
      </c>
      <c r="L47" s="22" t="s">
        <v>1483</v>
      </c>
      <c r="M47" s="22">
        <v>4464.0</v>
      </c>
      <c r="N47" s="18" t="s">
        <v>1483</v>
      </c>
      <c r="O47" s="18">
        <v>454750.0</v>
      </c>
      <c r="P47" s="18" t="s">
        <v>1483</v>
      </c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</row>
    <row r="48" ht="13.5" customHeight="1">
      <c r="A48" s="18" t="s">
        <v>1541</v>
      </c>
      <c r="B48" s="136" t="s">
        <v>1542</v>
      </c>
      <c r="C48" s="137" t="str">
        <f t="shared" si="4"/>
        <v>https://ra-matina.ru/?vendor_code=KRDDJ003</v>
      </c>
      <c r="D48" s="18" t="s">
        <v>1543</v>
      </c>
      <c r="E48" s="22" t="s">
        <v>1544</v>
      </c>
      <c r="F48" s="108" t="s">
        <v>1483</v>
      </c>
      <c r="G48" s="108" t="s">
        <v>1483</v>
      </c>
      <c r="H48" s="108" t="s">
        <v>1483</v>
      </c>
      <c r="I48" s="108" t="s">
        <v>1483</v>
      </c>
      <c r="J48" s="108" t="s">
        <v>1487</v>
      </c>
      <c r="K48" s="22" t="s">
        <v>1483</v>
      </c>
      <c r="L48" s="22" t="s">
        <v>1483</v>
      </c>
      <c r="M48" s="22" t="s">
        <v>1483</v>
      </c>
      <c r="N48" s="18" t="s">
        <v>1483</v>
      </c>
      <c r="O48" s="18" t="s">
        <v>1483</v>
      </c>
      <c r="P48" s="139">
        <v>147700.0</v>
      </c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</row>
    <row r="49" ht="13.5" customHeight="1">
      <c r="A49" s="18" t="s">
        <v>1541</v>
      </c>
      <c r="B49" s="136" t="s">
        <v>1542</v>
      </c>
      <c r="C49" s="137" t="str">
        <f t="shared" si="4"/>
        <v>https://ra-matina.ru/?vendor_code=KRDDJ003</v>
      </c>
      <c r="D49" s="18" t="s">
        <v>1543</v>
      </c>
      <c r="E49" s="22" t="s">
        <v>1544</v>
      </c>
      <c r="F49" s="108" t="s">
        <v>1483</v>
      </c>
      <c r="G49" s="108" t="s">
        <v>1483</v>
      </c>
      <c r="H49" s="108" t="s">
        <v>1483</v>
      </c>
      <c r="I49" s="108" t="s">
        <v>1483</v>
      </c>
      <c r="J49" s="108" t="s">
        <v>1488</v>
      </c>
      <c r="K49" s="22" t="s">
        <v>1483</v>
      </c>
      <c r="L49" s="22" t="s">
        <v>1483</v>
      </c>
      <c r="M49" s="22" t="s">
        <v>1483</v>
      </c>
      <c r="N49" s="18" t="s">
        <v>1483</v>
      </c>
      <c r="O49" s="18" t="s">
        <v>1483</v>
      </c>
      <c r="P49" s="139">
        <v>256800.0</v>
      </c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</row>
    <row r="50" ht="13.5" customHeight="1">
      <c r="A50" s="18"/>
      <c r="B50" s="140"/>
      <c r="C50" s="141"/>
      <c r="D50" s="139"/>
      <c r="E50" s="142"/>
      <c r="F50" s="138"/>
      <c r="G50" s="138"/>
      <c r="H50" s="138"/>
      <c r="I50" s="138"/>
      <c r="J50" s="138"/>
      <c r="K50" s="142"/>
      <c r="L50" s="142"/>
      <c r="M50" s="142"/>
      <c r="N50" s="120" t="s">
        <v>1516</v>
      </c>
      <c r="O50" s="120" t="s">
        <v>1517</v>
      </c>
      <c r="P50" s="120" t="s">
        <v>1518</v>
      </c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</row>
    <row r="51" ht="13.5" customHeight="1">
      <c r="A51" s="143" t="s">
        <v>1545</v>
      </c>
      <c r="B51" s="144" t="s">
        <v>1546</v>
      </c>
      <c r="C51" s="145" t="str">
        <f>HYPERLINK("https://ra-matina.ru/?vendor_code=с_00001")</f>
        <v>https://ra-matina.ru/?vendor_code=с_00001</v>
      </c>
      <c r="D51" s="87" t="s">
        <v>1547</v>
      </c>
      <c r="E51" s="146" t="s">
        <v>1500</v>
      </c>
      <c r="F51" s="89" t="s">
        <v>1483</v>
      </c>
      <c r="G51" s="90" t="s">
        <v>1483</v>
      </c>
      <c r="H51" s="91" t="s">
        <v>1483</v>
      </c>
      <c r="I51" s="89" t="s">
        <v>1483</v>
      </c>
      <c r="J51" s="90"/>
      <c r="K51" s="88" t="s">
        <v>1483</v>
      </c>
      <c r="L51" s="88" t="s">
        <v>1483</v>
      </c>
      <c r="M51" s="88" t="s">
        <v>1483</v>
      </c>
      <c r="N51" s="92">
        <v>45000.0</v>
      </c>
      <c r="O51" s="92" t="s">
        <v>1483</v>
      </c>
      <c r="P51" s="92" t="s">
        <v>1483</v>
      </c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2" ht="13.5" customHeight="1">
      <c r="A52" s="18" t="s">
        <v>1548</v>
      </c>
      <c r="B52" s="16" t="s">
        <v>1549</v>
      </c>
      <c r="C52" s="106" t="str">
        <f>HYPERLINK("https://ra-matina.ru/?vendor_code=с_00002")</f>
        <v>https://ra-matina.ru/?vendor_code=с_00002</v>
      </c>
      <c r="D52" s="18" t="s">
        <v>423</v>
      </c>
      <c r="E52" s="107" t="s">
        <v>1550</v>
      </c>
      <c r="F52" s="108" t="s">
        <v>1483</v>
      </c>
      <c r="G52" s="128" t="s">
        <v>1551</v>
      </c>
      <c r="H52" s="108" t="s">
        <v>1483</v>
      </c>
      <c r="I52" s="108" t="s">
        <v>1483</v>
      </c>
      <c r="J52" s="108" t="s">
        <v>1487</v>
      </c>
      <c r="K52" s="22">
        <v>31620.0</v>
      </c>
      <c r="L52" s="22" t="s">
        <v>1483</v>
      </c>
      <c r="M52" s="22" t="s">
        <v>1483</v>
      </c>
      <c r="N52" s="18">
        <v>316200.0</v>
      </c>
      <c r="O52" s="18" t="s">
        <v>1483</v>
      </c>
      <c r="P52" s="18" t="s">
        <v>1483</v>
      </c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</row>
    <row r="53" ht="13.5" customHeight="1">
      <c r="A53" s="18"/>
      <c r="B53" s="108"/>
      <c r="C53" s="108"/>
      <c r="D53" s="18"/>
      <c r="E53" s="22" t="s">
        <v>1483</v>
      </c>
      <c r="F53" s="108" t="s">
        <v>1483</v>
      </c>
      <c r="G53" s="108" t="s">
        <v>1483</v>
      </c>
      <c r="H53" s="108" t="s">
        <v>1483</v>
      </c>
      <c r="I53" s="108" t="s">
        <v>1483</v>
      </c>
      <c r="J53" s="108" t="s">
        <v>1487</v>
      </c>
      <c r="K53" s="22" t="s">
        <v>1483</v>
      </c>
      <c r="L53" s="22">
        <v>15810.0</v>
      </c>
      <c r="M53" s="22" t="s">
        <v>1483</v>
      </c>
      <c r="N53" s="18" t="s">
        <v>1483</v>
      </c>
      <c r="O53" s="18">
        <v>197625.0</v>
      </c>
      <c r="P53" s="18" t="s">
        <v>1483</v>
      </c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</row>
    <row r="54" ht="13.5" customHeight="1">
      <c r="A54" s="18"/>
      <c r="B54" s="108"/>
      <c r="C54" s="108"/>
      <c r="D54" s="18"/>
      <c r="E54" s="22" t="s">
        <v>1483</v>
      </c>
      <c r="F54" s="108" t="s">
        <v>1483</v>
      </c>
      <c r="G54" s="108" t="s">
        <v>1483</v>
      </c>
      <c r="H54" s="108" t="s">
        <v>1483</v>
      </c>
      <c r="I54" s="108" t="s">
        <v>1483</v>
      </c>
      <c r="J54" s="108" t="s">
        <v>1487</v>
      </c>
      <c r="K54" s="22" t="s">
        <v>1483</v>
      </c>
      <c r="L54" s="22" t="s">
        <v>1483</v>
      </c>
      <c r="M54" s="22">
        <v>6324.0</v>
      </c>
      <c r="N54" s="18" t="s">
        <v>1483</v>
      </c>
      <c r="O54" s="18" t="s">
        <v>1483</v>
      </c>
      <c r="P54" s="18">
        <v>94860.0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</row>
    <row r="55" ht="13.5" customHeight="1">
      <c r="A55" s="18"/>
      <c r="B55" s="108"/>
      <c r="C55" s="108"/>
      <c r="D55" s="18"/>
      <c r="E55" s="22" t="s">
        <v>1483</v>
      </c>
      <c r="F55" s="108" t="s">
        <v>1483</v>
      </c>
      <c r="G55" s="108" t="s">
        <v>1483</v>
      </c>
      <c r="H55" s="108" t="s">
        <v>1483</v>
      </c>
      <c r="I55" s="108" t="s">
        <v>1483</v>
      </c>
      <c r="J55" s="108" t="s">
        <v>1488</v>
      </c>
      <c r="K55" s="22">
        <v>31620.0</v>
      </c>
      <c r="L55" s="22" t="s">
        <v>1483</v>
      </c>
      <c r="M55" s="22" t="s">
        <v>1483</v>
      </c>
      <c r="N55" s="18">
        <v>632400.0</v>
      </c>
      <c r="O55" s="18" t="s">
        <v>1483</v>
      </c>
      <c r="P55" s="18" t="s">
        <v>1483</v>
      </c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</row>
    <row r="56" ht="13.5" customHeight="1">
      <c r="A56" s="18"/>
      <c r="B56" s="108"/>
      <c r="C56" s="108"/>
      <c r="D56" s="18"/>
      <c r="E56" s="22" t="s">
        <v>1483</v>
      </c>
      <c r="F56" s="108" t="s">
        <v>1483</v>
      </c>
      <c r="G56" s="108" t="s">
        <v>1483</v>
      </c>
      <c r="H56" s="108" t="s">
        <v>1483</v>
      </c>
      <c r="I56" s="108" t="s">
        <v>1483</v>
      </c>
      <c r="J56" s="108" t="s">
        <v>1488</v>
      </c>
      <c r="K56" s="22" t="s">
        <v>1483</v>
      </c>
      <c r="L56" s="22">
        <v>15810.0</v>
      </c>
      <c r="M56" s="22" t="s">
        <v>1483</v>
      </c>
      <c r="N56" s="18" t="s">
        <v>1483</v>
      </c>
      <c r="O56" s="18">
        <v>395250.0</v>
      </c>
      <c r="P56" s="18" t="s">
        <v>1483</v>
      </c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</row>
    <row r="57" ht="13.5" customHeight="1">
      <c r="A57" s="18"/>
      <c r="B57" s="108"/>
      <c r="C57" s="108"/>
      <c r="D57" s="18"/>
      <c r="E57" s="22" t="s">
        <v>1483</v>
      </c>
      <c r="F57" s="108" t="s">
        <v>1483</v>
      </c>
      <c r="G57" s="108" t="s">
        <v>1483</v>
      </c>
      <c r="H57" s="108" t="s">
        <v>1483</v>
      </c>
      <c r="I57" s="108" t="s">
        <v>1483</v>
      </c>
      <c r="J57" s="108" t="s">
        <v>1488</v>
      </c>
      <c r="K57" s="22" t="s">
        <v>1483</v>
      </c>
      <c r="L57" s="22" t="s">
        <v>1483</v>
      </c>
      <c r="M57" s="22">
        <v>6324.0</v>
      </c>
      <c r="N57" s="18" t="s">
        <v>1483</v>
      </c>
      <c r="O57" s="18" t="s">
        <v>1483</v>
      </c>
      <c r="P57" s="18">
        <v>189720.0</v>
      </c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</row>
    <row r="58" ht="13.5" customHeight="1">
      <c r="A58" s="147" t="s">
        <v>1552</v>
      </c>
      <c r="B58" s="16" t="s">
        <v>1549</v>
      </c>
      <c r="C58" s="148" t="str">
        <f>HYPERLINK("https://ra-matina.ru/?vendor_code=с_00003")</f>
        <v>https://ra-matina.ru/?vendor_code=с_00003</v>
      </c>
      <c r="D58" s="149" t="s">
        <v>21</v>
      </c>
      <c r="E58" s="107" t="s">
        <v>1550</v>
      </c>
      <c r="F58" s="108" t="s">
        <v>1483</v>
      </c>
      <c r="G58" s="128" t="s">
        <v>1551</v>
      </c>
      <c r="H58" s="108" t="s">
        <v>1483</v>
      </c>
      <c r="I58" s="108" t="s">
        <v>1483</v>
      </c>
      <c r="J58" s="108" t="s">
        <v>1487</v>
      </c>
      <c r="K58" s="22">
        <v>31620.0</v>
      </c>
      <c r="L58" s="22" t="s">
        <v>1483</v>
      </c>
      <c r="M58" s="22" t="s">
        <v>1483</v>
      </c>
      <c r="N58" s="18">
        <v>316200.0</v>
      </c>
      <c r="O58" s="18" t="s">
        <v>1483</v>
      </c>
      <c r="P58" s="18" t="s">
        <v>1483</v>
      </c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</row>
    <row r="59" ht="13.5" customHeight="1">
      <c r="A59" s="150"/>
      <c r="B59" s="151"/>
      <c r="C59" s="151"/>
      <c r="D59" s="152"/>
      <c r="E59" s="22" t="s">
        <v>1483</v>
      </c>
      <c r="F59" s="108" t="s">
        <v>1483</v>
      </c>
      <c r="G59" s="108" t="s">
        <v>1483</v>
      </c>
      <c r="H59" s="108" t="s">
        <v>1483</v>
      </c>
      <c r="I59" s="108" t="s">
        <v>1483</v>
      </c>
      <c r="J59" s="108" t="s">
        <v>1487</v>
      </c>
      <c r="K59" s="22" t="s">
        <v>1483</v>
      </c>
      <c r="L59" s="22">
        <v>15810.0</v>
      </c>
      <c r="M59" s="22" t="s">
        <v>1483</v>
      </c>
      <c r="N59" s="18" t="s">
        <v>1483</v>
      </c>
      <c r="O59" s="18">
        <v>197625.0</v>
      </c>
      <c r="P59" s="18" t="s">
        <v>1483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</row>
    <row r="60" ht="13.5" customHeight="1">
      <c r="A60" s="150"/>
      <c r="B60" s="151"/>
      <c r="C60" s="151"/>
      <c r="D60" s="152"/>
      <c r="E60" s="22" t="s">
        <v>1483</v>
      </c>
      <c r="F60" s="108" t="s">
        <v>1483</v>
      </c>
      <c r="G60" s="108" t="s">
        <v>1483</v>
      </c>
      <c r="H60" s="108" t="s">
        <v>1483</v>
      </c>
      <c r="I60" s="108" t="s">
        <v>1483</v>
      </c>
      <c r="J60" s="108" t="s">
        <v>1487</v>
      </c>
      <c r="K60" s="22" t="s">
        <v>1483</v>
      </c>
      <c r="L60" s="22" t="s">
        <v>1483</v>
      </c>
      <c r="M60" s="22">
        <v>6324.0</v>
      </c>
      <c r="N60" s="18" t="s">
        <v>1483</v>
      </c>
      <c r="O60" s="18" t="s">
        <v>1483</v>
      </c>
      <c r="P60" s="18">
        <v>94860.0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</row>
    <row r="61" ht="13.5" customHeight="1">
      <c r="A61" s="150"/>
      <c r="B61" s="151"/>
      <c r="C61" s="151"/>
      <c r="D61" s="152"/>
      <c r="E61" s="22" t="s">
        <v>1483</v>
      </c>
      <c r="F61" s="108" t="s">
        <v>1483</v>
      </c>
      <c r="G61" s="108" t="s">
        <v>1483</v>
      </c>
      <c r="H61" s="108" t="s">
        <v>1483</v>
      </c>
      <c r="I61" s="108" t="s">
        <v>1483</v>
      </c>
      <c r="J61" s="108" t="s">
        <v>1488</v>
      </c>
      <c r="K61" s="22">
        <v>31620.0</v>
      </c>
      <c r="L61" s="22" t="s">
        <v>1483</v>
      </c>
      <c r="M61" s="22" t="s">
        <v>1483</v>
      </c>
      <c r="N61" s="18">
        <v>632400.0</v>
      </c>
      <c r="O61" s="18" t="s">
        <v>1483</v>
      </c>
      <c r="P61" s="18" t="s">
        <v>1483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</row>
    <row r="62" ht="13.5" customHeight="1">
      <c r="A62" s="150"/>
      <c r="B62" s="151"/>
      <c r="C62" s="151"/>
      <c r="D62" s="152"/>
      <c r="E62" s="22" t="s">
        <v>1483</v>
      </c>
      <c r="F62" s="108" t="s">
        <v>1483</v>
      </c>
      <c r="G62" s="108" t="s">
        <v>1483</v>
      </c>
      <c r="H62" s="108" t="s">
        <v>1483</v>
      </c>
      <c r="I62" s="108" t="s">
        <v>1483</v>
      </c>
      <c r="J62" s="108" t="s">
        <v>1488</v>
      </c>
      <c r="K62" s="22" t="s">
        <v>1483</v>
      </c>
      <c r="L62" s="22">
        <v>15810.0</v>
      </c>
      <c r="M62" s="22" t="s">
        <v>1483</v>
      </c>
      <c r="N62" s="18" t="s">
        <v>1483</v>
      </c>
      <c r="O62" s="18">
        <v>395250.0</v>
      </c>
      <c r="P62" s="18" t="s">
        <v>1483</v>
      </c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</row>
    <row r="63" ht="13.5" customHeight="1">
      <c r="A63" s="150"/>
      <c r="B63" s="151"/>
      <c r="C63" s="151"/>
      <c r="D63" s="152"/>
      <c r="E63" s="22" t="s">
        <v>1483</v>
      </c>
      <c r="F63" s="108" t="s">
        <v>1483</v>
      </c>
      <c r="G63" s="108" t="s">
        <v>1483</v>
      </c>
      <c r="H63" s="108" t="s">
        <v>1483</v>
      </c>
      <c r="I63" s="108" t="s">
        <v>1483</v>
      </c>
      <c r="J63" s="108" t="s">
        <v>1488</v>
      </c>
      <c r="K63" s="22" t="s">
        <v>1483</v>
      </c>
      <c r="L63" s="22" t="s">
        <v>1483</v>
      </c>
      <c r="M63" s="22">
        <v>6324.0</v>
      </c>
      <c r="N63" s="18" t="s">
        <v>1483</v>
      </c>
      <c r="O63" s="18" t="s">
        <v>1483</v>
      </c>
      <c r="P63" s="18">
        <v>189720.0</v>
      </c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</row>
    <row r="64" ht="13.5" customHeight="1">
      <c r="A64" s="110" t="s">
        <v>1553</v>
      </c>
      <c r="B64" s="153" t="s">
        <v>1554</v>
      </c>
      <c r="C64" s="17" t="str">
        <f>HYPERLINK("https://ra-matina.ru/?vendor_code=KRD0002B23KLDQ")</f>
        <v>https://ra-matina.ru/?vendor_code=KRD0002B23KLDQ</v>
      </c>
      <c r="D64" s="18" t="s">
        <v>1555</v>
      </c>
      <c r="E64" s="22" t="s">
        <v>1504</v>
      </c>
      <c r="F64" s="108" t="s">
        <v>1483</v>
      </c>
      <c r="G64" s="108" t="s">
        <v>1483</v>
      </c>
      <c r="H64" s="108" t="s">
        <v>1483</v>
      </c>
      <c r="I64" s="108" t="s">
        <v>1483</v>
      </c>
      <c r="J64" s="108" t="s">
        <v>1487</v>
      </c>
      <c r="K64" s="22" t="s">
        <v>1483</v>
      </c>
      <c r="L64" s="22" t="s">
        <v>1483</v>
      </c>
      <c r="M64" s="22" t="s">
        <v>1483</v>
      </c>
      <c r="N64" s="18" t="s">
        <v>1483</v>
      </c>
      <c r="O64" s="18">
        <v>34800.0</v>
      </c>
      <c r="P64" s="18" t="s">
        <v>1483</v>
      </c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</row>
    <row r="65" ht="13.5" customHeight="1">
      <c r="A65" s="18" t="s">
        <v>1556</v>
      </c>
      <c r="B65" s="153" t="s">
        <v>1557</v>
      </c>
      <c r="C65" s="137" t="str">
        <f t="shared" ref="C65:C66" si="5">HYPERLINK("https://ra-matina.ru/?vendor_code=KRDDJ002")</f>
        <v>https://ra-matina.ru/?vendor_code=KRDDJ002</v>
      </c>
      <c r="D65" s="18" t="s">
        <v>21</v>
      </c>
      <c r="E65" s="22" t="s">
        <v>1558</v>
      </c>
      <c r="F65" s="154" t="s">
        <v>1559</v>
      </c>
      <c r="G65" s="108" t="s">
        <v>1560</v>
      </c>
      <c r="H65" s="108" t="s">
        <v>1483</v>
      </c>
      <c r="I65" s="108" t="s">
        <v>1483</v>
      </c>
      <c r="J65" s="108" t="s">
        <v>1487</v>
      </c>
      <c r="K65" s="22" t="s">
        <v>1483</v>
      </c>
      <c r="L65" s="22" t="s">
        <v>1483</v>
      </c>
      <c r="M65" s="22">
        <v>6840.0</v>
      </c>
      <c r="N65" s="18" t="s">
        <v>1483</v>
      </c>
      <c r="O65" s="18" t="s">
        <v>1483</v>
      </c>
      <c r="P65" s="18">
        <v>90000.0</v>
      </c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</row>
    <row r="66" ht="13.5" customHeight="1">
      <c r="A66" s="18" t="s">
        <v>1556</v>
      </c>
      <c r="B66" s="153" t="s">
        <v>1557</v>
      </c>
      <c r="C66" s="137" t="str">
        <f t="shared" si="5"/>
        <v>https://ra-matina.ru/?vendor_code=KRDDJ002</v>
      </c>
      <c r="D66" s="18" t="s">
        <v>21</v>
      </c>
      <c r="E66" s="22" t="s">
        <v>1558</v>
      </c>
      <c r="F66" s="154" t="s">
        <v>1559</v>
      </c>
      <c r="G66" s="108" t="s">
        <v>1560</v>
      </c>
      <c r="H66" s="108" t="s">
        <v>1483</v>
      </c>
      <c r="I66" s="108" t="s">
        <v>1483</v>
      </c>
      <c r="J66" s="108" t="s">
        <v>1488</v>
      </c>
      <c r="K66" s="22" t="s">
        <v>1483</v>
      </c>
      <c r="L66" s="22" t="s">
        <v>1483</v>
      </c>
      <c r="M66" s="22">
        <v>6840.0</v>
      </c>
      <c r="N66" s="18" t="s">
        <v>1483</v>
      </c>
      <c r="O66" s="18" t="s">
        <v>1483</v>
      </c>
      <c r="P66" s="18">
        <v>180000.0</v>
      </c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</row>
    <row r="67" ht="13.5" customHeight="1">
      <c r="A67" s="51" t="s">
        <v>1561</v>
      </c>
      <c r="B67" s="155" t="s">
        <v>1562</v>
      </c>
      <c r="C67" s="156" t="str">
        <f>HYPERLINK("https://ra-matina.ru/?vendor_code=DCB")</f>
        <v>https://ra-matina.ru/?vendor_code=DCB</v>
      </c>
      <c r="D67" s="114" t="s">
        <v>28</v>
      </c>
      <c r="E67" s="107" t="s">
        <v>1563</v>
      </c>
      <c r="F67" s="115" t="s">
        <v>1564</v>
      </c>
      <c r="G67" s="116" t="s">
        <v>1565</v>
      </c>
      <c r="H67" s="117">
        <v>3.5</v>
      </c>
      <c r="I67" s="115">
        <v>22.0</v>
      </c>
      <c r="J67" s="118"/>
      <c r="K67" s="119" t="s">
        <v>1484</v>
      </c>
      <c r="L67" s="119" t="s">
        <v>1492</v>
      </c>
      <c r="M67" s="157" t="s">
        <v>1483</v>
      </c>
      <c r="N67" s="120" t="s">
        <v>1516</v>
      </c>
      <c r="O67" s="120" t="s">
        <v>1566</v>
      </c>
      <c r="P67" s="18" t="s">
        <v>1483</v>
      </c>
      <c r="Q67" s="72"/>
      <c r="R67" s="72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</row>
    <row r="68" ht="13.5" customHeight="1">
      <c r="A68" s="122"/>
      <c r="B68" s="158"/>
      <c r="C68" s="158"/>
      <c r="D68" s="53"/>
      <c r="E68" s="159"/>
      <c r="F68" s="115"/>
      <c r="G68" s="116"/>
      <c r="H68" s="117"/>
      <c r="I68" s="115"/>
      <c r="J68" s="160" t="s">
        <v>1567</v>
      </c>
      <c r="K68" s="107">
        <v>43200.0</v>
      </c>
      <c r="L68" s="107">
        <v>14400.0</v>
      </c>
      <c r="M68" s="157" t="s">
        <v>1483</v>
      </c>
      <c r="N68" s="15">
        <v>23000.0</v>
      </c>
      <c r="O68" s="15">
        <v>11000.0</v>
      </c>
      <c r="P68" s="18" t="s">
        <v>1483</v>
      </c>
      <c r="Q68" s="72"/>
      <c r="R68" s="72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</row>
    <row r="69" ht="13.5" customHeight="1">
      <c r="A69" s="122"/>
      <c r="B69" s="158"/>
      <c r="C69" s="158"/>
      <c r="D69" s="53"/>
      <c r="E69" s="161"/>
      <c r="F69" s="153"/>
      <c r="G69" s="153"/>
      <c r="H69" s="162"/>
      <c r="I69" s="162"/>
      <c r="J69" s="108" t="s">
        <v>1568</v>
      </c>
      <c r="K69" s="107">
        <v>43200.0</v>
      </c>
      <c r="L69" s="107">
        <v>14400.0</v>
      </c>
      <c r="M69" s="157" t="s">
        <v>1483</v>
      </c>
      <c r="N69" s="15">
        <v>31000.0</v>
      </c>
      <c r="O69" s="15">
        <v>15000.0</v>
      </c>
      <c r="P69" s="18" t="s">
        <v>1483</v>
      </c>
      <c r="Q69" s="72"/>
      <c r="R69" s="72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</row>
    <row r="70" ht="13.5" customHeight="1">
      <c r="A70" s="122"/>
      <c r="B70" s="158"/>
      <c r="C70" s="158"/>
      <c r="D70" s="53"/>
      <c r="E70" s="161"/>
      <c r="F70" s="153"/>
      <c r="G70" s="153"/>
      <c r="H70" s="162"/>
      <c r="I70" s="162"/>
      <c r="J70" s="108" t="s">
        <v>1521</v>
      </c>
      <c r="K70" s="107">
        <v>43200.0</v>
      </c>
      <c r="L70" s="107">
        <v>14400.0</v>
      </c>
      <c r="M70" s="157" t="s">
        <v>1483</v>
      </c>
      <c r="N70" s="18">
        <v>38000.0</v>
      </c>
      <c r="O70" s="18">
        <v>18000.0</v>
      </c>
      <c r="P70" s="18" t="s">
        <v>1483</v>
      </c>
      <c r="Q70" s="72"/>
      <c r="R70" s="72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</row>
    <row r="71" ht="13.5" customHeight="1">
      <c r="A71" s="163" t="s">
        <v>1569</v>
      </c>
      <c r="B71" s="158" t="s">
        <v>1570</v>
      </c>
      <c r="C71" s="164" t="str">
        <f>HYPERLINK("https://ra-matina.ru/?vendor_code=DSS-3А")</f>
        <v>https://ra-matina.ru/?vendor_code=DSS-3А</v>
      </c>
      <c r="D71" s="53" t="s">
        <v>28</v>
      </c>
      <c r="E71" s="165" t="s">
        <v>1550</v>
      </c>
      <c r="F71" s="108" t="s">
        <v>1483</v>
      </c>
      <c r="G71" s="153" t="s">
        <v>1571</v>
      </c>
      <c r="H71" s="108" t="s">
        <v>1483</v>
      </c>
      <c r="I71" s="108" t="s">
        <v>1483</v>
      </c>
      <c r="J71" s="108" t="s">
        <v>1487</v>
      </c>
      <c r="K71" s="22">
        <v>30600.0</v>
      </c>
      <c r="L71" s="22" t="s">
        <v>1483</v>
      </c>
      <c r="M71" s="22" t="s">
        <v>1483</v>
      </c>
      <c r="N71" s="18">
        <v>316200.0</v>
      </c>
      <c r="O71" s="18" t="s">
        <v>1483</v>
      </c>
      <c r="P71" s="18" t="s">
        <v>1483</v>
      </c>
      <c r="Q71" s="121"/>
      <c r="R71" s="121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</row>
    <row r="72" ht="13.5" customHeight="1">
      <c r="A72" s="163" t="s">
        <v>1572</v>
      </c>
      <c r="B72" s="158" t="s">
        <v>1570</v>
      </c>
      <c r="C72" s="164" t="str">
        <f>HYPERLINK("https://ra-matina.ru/?vendor_code=DSS-3А1")</f>
        <v>https://ra-matina.ru/?vendor_code=DSS-3А1</v>
      </c>
      <c r="D72" s="53" t="s">
        <v>28</v>
      </c>
      <c r="E72" s="165" t="s">
        <v>1550</v>
      </c>
      <c r="F72" s="108" t="s">
        <v>1483</v>
      </c>
      <c r="G72" s="153" t="s">
        <v>1571</v>
      </c>
      <c r="H72" s="108" t="s">
        <v>1483</v>
      </c>
      <c r="I72" s="108" t="s">
        <v>1483</v>
      </c>
      <c r="J72" s="108" t="s">
        <v>1487</v>
      </c>
      <c r="K72" s="22" t="s">
        <v>1483</v>
      </c>
      <c r="L72" s="22">
        <v>15300.0</v>
      </c>
      <c r="M72" s="22" t="s">
        <v>1483</v>
      </c>
      <c r="N72" s="18" t="s">
        <v>1483</v>
      </c>
      <c r="O72" s="18">
        <v>237150.0</v>
      </c>
      <c r="P72" s="18" t="s">
        <v>1483</v>
      </c>
      <c r="Q72" s="121"/>
      <c r="R72" s="121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</row>
    <row r="73" ht="13.5" customHeight="1">
      <c r="A73" s="53" t="s">
        <v>1573</v>
      </c>
      <c r="B73" s="158" t="s">
        <v>1570</v>
      </c>
      <c r="C73" s="164" t="str">
        <f>HYPERLINK("https://ra-matina.ru/?vendor_code=DSS-3А2")</f>
        <v>https://ra-matina.ru/?vendor_code=DSS-3А2</v>
      </c>
      <c r="D73" s="53" t="s">
        <v>28</v>
      </c>
      <c r="E73" s="165" t="s">
        <v>1550</v>
      </c>
      <c r="F73" s="108" t="s">
        <v>1483</v>
      </c>
      <c r="G73" s="153" t="s">
        <v>1571</v>
      </c>
      <c r="H73" s="108" t="s">
        <v>1483</v>
      </c>
      <c r="I73" s="108" t="s">
        <v>1483</v>
      </c>
      <c r="J73" s="108" t="s">
        <v>1487</v>
      </c>
      <c r="K73" s="22" t="s">
        <v>1483</v>
      </c>
      <c r="L73" s="22" t="s">
        <v>1483</v>
      </c>
      <c r="M73" s="22">
        <v>6120.0</v>
      </c>
      <c r="N73" s="18" t="s">
        <v>1483</v>
      </c>
      <c r="O73" s="18" t="s">
        <v>1483</v>
      </c>
      <c r="P73" s="18">
        <v>126480.0</v>
      </c>
      <c r="Q73" s="121"/>
      <c r="R73" s="121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</row>
    <row r="74" ht="13.5" customHeight="1">
      <c r="A74" s="53" t="s">
        <v>1574</v>
      </c>
      <c r="B74" s="158" t="s">
        <v>1570</v>
      </c>
      <c r="C74" s="164" t="str">
        <f>HYPERLINK("https://ra-matina.ru/?vendor_code=DSS-3А3")</f>
        <v>https://ra-matina.ru/?vendor_code=DSS-3А3</v>
      </c>
      <c r="D74" s="53" t="s">
        <v>28</v>
      </c>
      <c r="E74" s="165" t="s">
        <v>1550</v>
      </c>
      <c r="F74" s="108" t="s">
        <v>1483</v>
      </c>
      <c r="G74" s="153" t="s">
        <v>1571</v>
      </c>
      <c r="H74" s="108" t="s">
        <v>1483</v>
      </c>
      <c r="I74" s="108" t="s">
        <v>1483</v>
      </c>
      <c r="J74" s="108" t="s">
        <v>1488</v>
      </c>
      <c r="K74" s="22">
        <v>30600.0</v>
      </c>
      <c r="L74" s="22" t="s">
        <v>1483</v>
      </c>
      <c r="M74" s="22" t="s">
        <v>1483</v>
      </c>
      <c r="N74" s="18">
        <v>632400.0</v>
      </c>
      <c r="O74" s="18" t="s">
        <v>1483</v>
      </c>
      <c r="P74" s="18" t="s">
        <v>1483</v>
      </c>
      <c r="Q74" s="121"/>
      <c r="R74" s="121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</row>
    <row r="75" ht="13.5" customHeight="1">
      <c r="A75" s="53" t="s">
        <v>1575</v>
      </c>
      <c r="B75" s="158" t="s">
        <v>1570</v>
      </c>
      <c r="C75" s="164" t="str">
        <f>HYPERLINK("https://ra-matina.ru/?vendor_code=DSS-3А4")</f>
        <v>https://ra-matina.ru/?vendor_code=DSS-3А4</v>
      </c>
      <c r="D75" s="53" t="s">
        <v>28</v>
      </c>
      <c r="E75" s="165" t="s">
        <v>1550</v>
      </c>
      <c r="F75" s="108" t="s">
        <v>1483</v>
      </c>
      <c r="G75" s="153" t="s">
        <v>1571</v>
      </c>
      <c r="H75" s="108" t="s">
        <v>1483</v>
      </c>
      <c r="I75" s="108" t="s">
        <v>1483</v>
      </c>
      <c r="J75" s="108" t="s">
        <v>1488</v>
      </c>
      <c r="K75" s="22" t="s">
        <v>1483</v>
      </c>
      <c r="L75" s="22">
        <v>15300.0</v>
      </c>
      <c r="M75" s="22" t="s">
        <v>1483</v>
      </c>
      <c r="N75" s="18" t="s">
        <v>1483</v>
      </c>
      <c r="O75" s="18">
        <v>474400.0</v>
      </c>
      <c r="P75" s="18" t="s">
        <v>1483</v>
      </c>
      <c r="Q75" s="121"/>
      <c r="R75" s="121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</row>
    <row r="76" ht="13.5" customHeight="1">
      <c r="A76" s="53" t="s">
        <v>1576</v>
      </c>
      <c r="B76" s="158" t="s">
        <v>1570</v>
      </c>
      <c r="C76" s="164" t="str">
        <f>HYPERLINK("https://ra-matina.ru/?vendor_code=DSS-3А5")</f>
        <v>https://ra-matina.ru/?vendor_code=DSS-3А5</v>
      </c>
      <c r="D76" s="53" t="s">
        <v>28</v>
      </c>
      <c r="E76" s="165" t="s">
        <v>1550</v>
      </c>
      <c r="F76" s="108" t="s">
        <v>1483</v>
      </c>
      <c r="G76" s="153" t="s">
        <v>1571</v>
      </c>
      <c r="H76" s="108" t="s">
        <v>1483</v>
      </c>
      <c r="I76" s="108" t="s">
        <v>1483</v>
      </c>
      <c r="J76" s="108" t="s">
        <v>1488</v>
      </c>
      <c r="K76" s="22" t="s">
        <v>1483</v>
      </c>
      <c r="L76" s="124" t="s">
        <v>1483</v>
      </c>
      <c r="M76" s="22">
        <v>6120.0</v>
      </c>
      <c r="N76" s="18" t="s">
        <v>1483</v>
      </c>
      <c r="O76" s="18" t="s">
        <v>1483</v>
      </c>
      <c r="P76" s="18">
        <v>252900.0</v>
      </c>
      <c r="Q76" s="121"/>
      <c r="R76" s="121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</row>
    <row r="77" ht="13.5" customHeight="1">
      <c r="A77" s="163" t="s">
        <v>1577</v>
      </c>
      <c r="B77" s="158" t="s">
        <v>1570</v>
      </c>
      <c r="C77" s="164" t="str">
        <f>HYPERLINK("https://ra-matina.ru/?vendor_code=DSS-3Б")</f>
        <v>https://ra-matina.ru/?vendor_code=DSS-3Б</v>
      </c>
      <c r="D77" s="53" t="s">
        <v>21</v>
      </c>
      <c r="E77" s="165" t="s">
        <v>1550</v>
      </c>
      <c r="F77" s="108" t="s">
        <v>1483</v>
      </c>
      <c r="G77" s="153" t="s">
        <v>1571</v>
      </c>
      <c r="H77" s="108" t="s">
        <v>1483</v>
      </c>
      <c r="I77" s="108" t="s">
        <v>1483</v>
      </c>
      <c r="J77" s="108" t="s">
        <v>1487</v>
      </c>
      <c r="K77" s="22">
        <v>30600.0</v>
      </c>
      <c r="L77" s="22" t="s">
        <v>1483</v>
      </c>
      <c r="M77" s="22" t="s">
        <v>1483</v>
      </c>
      <c r="N77" s="18">
        <v>51000.0</v>
      </c>
      <c r="O77" s="18" t="s">
        <v>1483</v>
      </c>
      <c r="P77" s="18" t="s">
        <v>1483</v>
      </c>
      <c r="Q77" s="121"/>
      <c r="R77" s="121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</row>
    <row r="78" ht="13.5" customHeight="1">
      <c r="A78" s="163" t="s">
        <v>1578</v>
      </c>
      <c r="B78" s="158" t="s">
        <v>1570</v>
      </c>
      <c r="C78" s="164" t="str">
        <f>HYPERLINK("https://ra-matina.ru/?vendor_code=DSS-3Б1")</f>
        <v>https://ra-matina.ru/?vendor_code=DSS-3Б1</v>
      </c>
      <c r="D78" s="53" t="s">
        <v>21</v>
      </c>
      <c r="E78" s="165" t="s">
        <v>1550</v>
      </c>
      <c r="F78" s="108" t="s">
        <v>1483</v>
      </c>
      <c r="G78" s="153" t="s">
        <v>1571</v>
      </c>
      <c r="H78" s="108" t="s">
        <v>1483</v>
      </c>
      <c r="I78" s="108" t="s">
        <v>1483</v>
      </c>
      <c r="J78" s="108" t="s">
        <v>1487</v>
      </c>
      <c r="K78" s="22" t="s">
        <v>1483</v>
      </c>
      <c r="L78" s="22">
        <v>15300.0</v>
      </c>
      <c r="M78" s="22" t="s">
        <v>1483</v>
      </c>
      <c r="N78" s="18" t="s">
        <v>1483</v>
      </c>
      <c r="O78" s="18">
        <v>237150.0</v>
      </c>
      <c r="P78" s="18" t="s">
        <v>1483</v>
      </c>
      <c r="Q78" s="121"/>
      <c r="R78" s="121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</row>
    <row r="79" ht="13.5" customHeight="1">
      <c r="A79" s="53" t="s">
        <v>1579</v>
      </c>
      <c r="B79" s="158" t="s">
        <v>1570</v>
      </c>
      <c r="C79" s="164" t="str">
        <f>HYPERLINK("https://ra-matina.ru/?vendor_code=DSS-3Б2")</f>
        <v>https://ra-matina.ru/?vendor_code=DSS-3Б2</v>
      </c>
      <c r="D79" s="53" t="s">
        <v>21</v>
      </c>
      <c r="E79" s="165" t="s">
        <v>1550</v>
      </c>
      <c r="F79" s="108" t="s">
        <v>1483</v>
      </c>
      <c r="G79" s="153" t="s">
        <v>1571</v>
      </c>
      <c r="H79" s="108" t="s">
        <v>1483</v>
      </c>
      <c r="I79" s="108" t="s">
        <v>1483</v>
      </c>
      <c r="J79" s="108" t="s">
        <v>1487</v>
      </c>
      <c r="K79" s="22" t="s">
        <v>1483</v>
      </c>
      <c r="L79" s="22" t="s">
        <v>1483</v>
      </c>
      <c r="M79" s="22">
        <v>6120.0</v>
      </c>
      <c r="N79" s="18" t="s">
        <v>1483</v>
      </c>
      <c r="O79" s="18" t="s">
        <v>1483</v>
      </c>
      <c r="P79" s="18">
        <v>126480.0</v>
      </c>
      <c r="Q79" s="121"/>
      <c r="R79" s="121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</row>
    <row r="80" ht="13.5" customHeight="1">
      <c r="A80" s="163" t="s">
        <v>1580</v>
      </c>
      <c r="B80" s="158" t="s">
        <v>1570</v>
      </c>
      <c r="C80" s="164" t="str">
        <f>HYPERLINK("https://ra-matina.ru/?vendor_code=DSS-3Б3")</f>
        <v>https://ra-matina.ru/?vendor_code=DSS-3Б3</v>
      </c>
      <c r="D80" s="53" t="s">
        <v>21</v>
      </c>
      <c r="E80" s="165" t="s">
        <v>1550</v>
      </c>
      <c r="F80" s="108" t="s">
        <v>1483</v>
      </c>
      <c r="G80" s="153" t="s">
        <v>1571</v>
      </c>
      <c r="H80" s="108" t="s">
        <v>1483</v>
      </c>
      <c r="I80" s="108" t="s">
        <v>1483</v>
      </c>
      <c r="J80" s="108" t="s">
        <v>1488</v>
      </c>
      <c r="K80" s="22">
        <v>30600.0</v>
      </c>
      <c r="L80" s="22" t="s">
        <v>1483</v>
      </c>
      <c r="M80" s="22" t="s">
        <v>1483</v>
      </c>
      <c r="N80" s="18">
        <v>632400.0</v>
      </c>
      <c r="O80" s="18" t="s">
        <v>1483</v>
      </c>
      <c r="P80" s="18" t="s">
        <v>1483</v>
      </c>
      <c r="Q80" s="121"/>
      <c r="R80" s="121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</row>
    <row r="81" ht="13.5" customHeight="1">
      <c r="A81" s="53" t="s">
        <v>1581</v>
      </c>
      <c r="B81" s="158" t="s">
        <v>1570</v>
      </c>
      <c r="C81" s="164" t="str">
        <f>HYPERLINK("https://ra-matina.ru/?vendor_code=DSS-3Б4")</f>
        <v>https://ra-matina.ru/?vendor_code=DSS-3Б4</v>
      </c>
      <c r="D81" s="53" t="s">
        <v>21</v>
      </c>
      <c r="E81" s="165" t="s">
        <v>1550</v>
      </c>
      <c r="F81" s="108" t="s">
        <v>1483</v>
      </c>
      <c r="G81" s="153" t="s">
        <v>1571</v>
      </c>
      <c r="H81" s="108" t="s">
        <v>1483</v>
      </c>
      <c r="I81" s="108" t="s">
        <v>1483</v>
      </c>
      <c r="J81" s="108" t="s">
        <v>1488</v>
      </c>
      <c r="K81" s="22" t="s">
        <v>1483</v>
      </c>
      <c r="L81" s="22">
        <v>15300.0</v>
      </c>
      <c r="M81" s="22" t="s">
        <v>1483</v>
      </c>
      <c r="N81" s="18" t="s">
        <v>1483</v>
      </c>
      <c r="O81" s="18">
        <v>474300.0</v>
      </c>
      <c r="P81" s="18" t="s">
        <v>1483</v>
      </c>
      <c r="Q81" s="121"/>
      <c r="R81" s="121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</row>
    <row r="82" ht="13.5" customHeight="1">
      <c r="A82" s="53" t="s">
        <v>1582</v>
      </c>
      <c r="B82" s="158" t="s">
        <v>1570</v>
      </c>
      <c r="C82" s="164" t="str">
        <f>HYPERLINK("https://ra-matina.ru/?vendor_code=DSS-3Б5")</f>
        <v>https://ra-matina.ru/?vendor_code=DSS-3Б5</v>
      </c>
      <c r="D82" s="53" t="s">
        <v>21</v>
      </c>
      <c r="E82" s="165" t="s">
        <v>1550</v>
      </c>
      <c r="F82" s="108" t="s">
        <v>1483</v>
      </c>
      <c r="G82" s="153" t="s">
        <v>1571</v>
      </c>
      <c r="H82" s="108" t="s">
        <v>1483</v>
      </c>
      <c r="I82" s="108" t="s">
        <v>1483</v>
      </c>
      <c r="J82" s="108" t="s">
        <v>1488</v>
      </c>
      <c r="K82" s="22" t="s">
        <v>1483</v>
      </c>
      <c r="L82" s="124" t="s">
        <v>1483</v>
      </c>
      <c r="M82" s="22">
        <v>6120.0</v>
      </c>
      <c r="N82" s="18" t="s">
        <v>1483</v>
      </c>
      <c r="O82" s="18" t="s">
        <v>1483</v>
      </c>
      <c r="P82" s="18">
        <v>252960.0</v>
      </c>
      <c r="Q82" s="121"/>
      <c r="R82" s="121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</row>
    <row r="83" ht="13.5" customHeight="1">
      <c r="A83" s="53" t="s">
        <v>1583</v>
      </c>
      <c r="B83" s="16" t="s">
        <v>1584</v>
      </c>
      <c r="C83" s="106" t="str">
        <f>HYPERLINK("https://ra-matina.ru/?vendor_code=KrbilN061А5")</f>
        <v>https://ra-matina.ru/?vendor_code=KrbilN061А5</v>
      </c>
      <c r="D83" s="53" t="s">
        <v>760</v>
      </c>
      <c r="E83" s="22" t="s">
        <v>1483</v>
      </c>
      <c r="F83" s="108" t="s">
        <v>1483</v>
      </c>
      <c r="G83" s="108" t="s">
        <v>1483</v>
      </c>
      <c r="H83" s="134">
        <v>5.79</v>
      </c>
      <c r="I83" s="135">
        <v>46.53</v>
      </c>
      <c r="J83" s="108" t="s">
        <v>1487</v>
      </c>
      <c r="K83" s="22" t="s">
        <v>1483</v>
      </c>
      <c r="L83" s="22" t="s">
        <v>1483</v>
      </c>
      <c r="M83" s="22" t="s">
        <v>1483</v>
      </c>
      <c r="N83" s="18">
        <v>41000.0</v>
      </c>
      <c r="O83" s="18" t="s">
        <v>1483</v>
      </c>
      <c r="P83" s="18" t="s">
        <v>1483</v>
      </c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</row>
    <row r="84" ht="13.5" customHeight="1">
      <c r="A84" s="53" t="s">
        <v>1585</v>
      </c>
      <c r="B84" s="16" t="s">
        <v>1586</v>
      </c>
      <c r="C84" s="106" t="str">
        <f>HYPERLINK("https://ra-matina.ru/?vendor_code=KrbilN062А5")</f>
        <v>https://ra-matina.ru/?vendor_code=KrbilN062А5</v>
      </c>
      <c r="D84" s="53" t="s">
        <v>760</v>
      </c>
      <c r="E84" s="22" t="s">
        <v>1483</v>
      </c>
      <c r="F84" s="108" t="s">
        <v>1483</v>
      </c>
      <c r="G84" s="108" t="s">
        <v>1483</v>
      </c>
      <c r="H84" s="134">
        <v>8.21</v>
      </c>
      <c r="I84" s="135">
        <v>65.93</v>
      </c>
      <c r="J84" s="108" t="s">
        <v>1487</v>
      </c>
      <c r="K84" s="22" t="s">
        <v>1483</v>
      </c>
      <c r="L84" s="22" t="s">
        <v>1483</v>
      </c>
      <c r="M84" s="22" t="s">
        <v>1483</v>
      </c>
      <c r="N84" s="18">
        <v>41000.0</v>
      </c>
      <c r="O84" s="18" t="s">
        <v>1483</v>
      </c>
      <c r="P84" s="18" t="s">
        <v>1483</v>
      </c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</row>
    <row r="85" ht="13.5" customHeight="1">
      <c r="A85" s="110" t="s">
        <v>1587</v>
      </c>
      <c r="B85" s="153" t="s">
        <v>1588</v>
      </c>
      <c r="C85" s="17" t="str">
        <f>HYPERLINK("https://ra-matina.ru/?vendor_code=KRD0005A34KLDQ")</f>
        <v>https://ra-matina.ru/?vendor_code=KRD0005A34KLDQ</v>
      </c>
      <c r="D85" s="18" t="s">
        <v>1589</v>
      </c>
      <c r="E85" s="22" t="s">
        <v>1508</v>
      </c>
      <c r="F85" s="108" t="s">
        <v>1483</v>
      </c>
      <c r="G85" s="108" t="s">
        <v>1483</v>
      </c>
      <c r="H85" s="108" t="s">
        <v>1483</v>
      </c>
      <c r="I85" s="108" t="s">
        <v>1483</v>
      </c>
      <c r="J85" s="108" t="s">
        <v>1487</v>
      </c>
      <c r="K85" s="22" t="s">
        <v>1483</v>
      </c>
      <c r="L85" s="22" t="s">
        <v>1483</v>
      </c>
      <c r="M85" s="22" t="s">
        <v>1483</v>
      </c>
      <c r="N85" s="18" t="s">
        <v>1483</v>
      </c>
      <c r="O85" s="18">
        <v>39000.0</v>
      </c>
      <c r="P85" s="18" t="s">
        <v>1483</v>
      </c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</row>
    <row r="86" ht="13.5" customHeight="1">
      <c r="A86" s="18" t="s">
        <v>1590</v>
      </c>
      <c r="B86" s="136" t="s">
        <v>1591</v>
      </c>
      <c r="C86" s="137" t="str">
        <f t="shared" ref="C86:C87" si="6">HYPERLINK("https://ra-matina.ru/?vendor_code=KRDDJ001")</f>
        <v>https://ra-matina.ru/?vendor_code=KRDDJ001</v>
      </c>
      <c r="D86" s="18" t="s">
        <v>21</v>
      </c>
      <c r="E86" s="22" t="s">
        <v>1558</v>
      </c>
      <c r="F86" s="154" t="s">
        <v>1559</v>
      </c>
      <c r="G86" s="108" t="s">
        <v>1560</v>
      </c>
      <c r="H86" s="108" t="s">
        <v>1483</v>
      </c>
      <c r="I86" s="108" t="s">
        <v>1483</v>
      </c>
      <c r="J86" s="108" t="s">
        <v>1487</v>
      </c>
      <c r="K86" s="22" t="s">
        <v>1483</v>
      </c>
      <c r="L86" s="22" t="s">
        <v>1483</v>
      </c>
      <c r="M86" s="22">
        <v>7200.0</v>
      </c>
      <c r="N86" s="18" t="s">
        <v>1483</v>
      </c>
      <c r="O86" s="18" t="s">
        <v>1483</v>
      </c>
      <c r="P86" s="18">
        <v>90000.0</v>
      </c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</row>
    <row r="87" ht="13.5" customHeight="1">
      <c r="A87" s="18" t="s">
        <v>1590</v>
      </c>
      <c r="B87" s="136" t="s">
        <v>1591</v>
      </c>
      <c r="C87" s="137" t="str">
        <f t="shared" si="6"/>
        <v>https://ra-matina.ru/?vendor_code=KRDDJ001</v>
      </c>
      <c r="D87" s="18" t="s">
        <v>21</v>
      </c>
      <c r="E87" s="22" t="s">
        <v>1558</v>
      </c>
      <c r="F87" s="154" t="s">
        <v>1559</v>
      </c>
      <c r="G87" s="108" t="s">
        <v>1560</v>
      </c>
      <c r="H87" s="108" t="s">
        <v>1483</v>
      </c>
      <c r="I87" s="108" t="s">
        <v>1483</v>
      </c>
      <c r="J87" s="108" t="s">
        <v>1488</v>
      </c>
      <c r="K87" s="22" t="s">
        <v>1483</v>
      </c>
      <c r="L87" s="22" t="s">
        <v>1483</v>
      </c>
      <c r="M87" s="22">
        <v>7200.0</v>
      </c>
      <c r="N87" s="18" t="s">
        <v>1483</v>
      </c>
      <c r="O87" s="18" t="s">
        <v>1483</v>
      </c>
      <c r="P87" s="18">
        <v>180000.0</v>
      </c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</row>
    <row r="88" ht="13.5" customHeight="1">
      <c r="A88" s="18" t="s">
        <v>1592</v>
      </c>
      <c r="B88" s="16" t="s">
        <v>1593</v>
      </c>
      <c r="C88" s="137" t="str">
        <f>HYPERLINK("https://ra-matina.ru/?vendor_code=KRDDJ004")</f>
        <v>https://ra-matina.ru/?vendor_code=KRDDJ004</v>
      </c>
      <c r="D88" s="18" t="s">
        <v>28</v>
      </c>
      <c r="E88" s="22" t="s">
        <v>1594</v>
      </c>
      <c r="F88" s="108" t="s">
        <v>1483</v>
      </c>
      <c r="G88" s="108" t="s">
        <v>1483</v>
      </c>
      <c r="H88" s="108" t="s">
        <v>1483</v>
      </c>
      <c r="I88" s="108" t="s">
        <v>1483</v>
      </c>
      <c r="J88" s="108" t="s">
        <v>1487</v>
      </c>
      <c r="K88" s="22" t="s">
        <v>1483</v>
      </c>
      <c r="L88" s="22" t="s">
        <v>1483</v>
      </c>
      <c r="M88" s="22" t="s">
        <v>1483</v>
      </c>
      <c r="N88" s="18">
        <v>180000.0</v>
      </c>
      <c r="O88" s="18">
        <v>120000.0</v>
      </c>
      <c r="P88" s="18">
        <v>90000.0</v>
      </c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</row>
    <row r="89" ht="13.5" customHeight="1">
      <c r="A89" s="18"/>
      <c r="B89" s="16"/>
      <c r="C89" s="166"/>
      <c r="D89" s="18"/>
      <c r="E89" s="22"/>
      <c r="F89" s="108" t="s">
        <v>1483</v>
      </c>
      <c r="G89" s="108" t="s">
        <v>1483</v>
      </c>
      <c r="H89" s="108" t="s">
        <v>1483</v>
      </c>
      <c r="I89" s="108" t="s">
        <v>1483</v>
      </c>
      <c r="J89" s="108" t="s">
        <v>1488</v>
      </c>
      <c r="K89" s="22" t="s">
        <v>1483</v>
      </c>
      <c r="L89" s="22" t="s">
        <v>1483</v>
      </c>
      <c r="M89" s="22" t="s">
        <v>1483</v>
      </c>
      <c r="N89" s="18">
        <v>300000.0</v>
      </c>
      <c r="O89" s="18">
        <v>250000.0</v>
      </c>
      <c r="P89" s="18">
        <v>210000.0</v>
      </c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</row>
    <row r="90" ht="13.5" customHeight="1">
      <c r="A90" s="18" t="s">
        <v>1595</v>
      </c>
      <c r="B90" s="16" t="s">
        <v>1593</v>
      </c>
      <c r="C90" s="137" t="str">
        <f>HYPERLINK("https://ra-matina.ru/?vendor_code=KRDDJ005")</f>
        <v>https://ra-matina.ru/?vendor_code=KRDDJ005</v>
      </c>
      <c r="D90" s="18" t="s">
        <v>21</v>
      </c>
      <c r="E90" s="22" t="s">
        <v>1594</v>
      </c>
      <c r="F90" s="108" t="s">
        <v>1483</v>
      </c>
      <c r="G90" s="108" t="s">
        <v>1483</v>
      </c>
      <c r="H90" s="108" t="s">
        <v>1483</v>
      </c>
      <c r="I90" s="108" t="s">
        <v>1483</v>
      </c>
      <c r="J90" s="108" t="s">
        <v>1487</v>
      </c>
      <c r="K90" s="22" t="s">
        <v>1483</v>
      </c>
      <c r="L90" s="22" t="s">
        <v>1483</v>
      </c>
      <c r="M90" s="22" t="s">
        <v>1483</v>
      </c>
      <c r="N90" s="18">
        <v>180000.0</v>
      </c>
      <c r="O90" s="18">
        <v>120000.0</v>
      </c>
      <c r="P90" s="18">
        <v>90000.0</v>
      </c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</row>
    <row r="91" ht="13.5" customHeight="1">
      <c r="A91" s="18"/>
      <c r="B91" s="128"/>
      <c r="C91" s="166"/>
      <c r="D91" s="18"/>
      <c r="E91" s="22"/>
      <c r="F91" s="108" t="s">
        <v>1483</v>
      </c>
      <c r="G91" s="108" t="s">
        <v>1483</v>
      </c>
      <c r="H91" s="108" t="s">
        <v>1483</v>
      </c>
      <c r="I91" s="108" t="s">
        <v>1483</v>
      </c>
      <c r="J91" s="108" t="s">
        <v>1488</v>
      </c>
      <c r="K91" s="22" t="s">
        <v>1483</v>
      </c>
      <c r="L91" s="22" t="s">
        <v>1483</v>
      </c>
      <c r="M91" s="22" t="s">
        <v>1483</v>
      </c>
      <c r="N91" s="18">
        <v>300000.0</v>
      </c>
      <c r="O91" s="18">
        <v>250000.0</v>
      </c>
      <c r="P91" s="18">
        <v>210000.0</v>
      </c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</row>
    <row r="92" ht="13.5" customHeight="1">
      <c r="A92" s="53" t="s">
        <v>1596</v>
      </c>
      <c r="B92" s="158" t="s">
        <v>1597</v>
      </c>
      <c r="C92" s="164" t="str">
        <f>HYPERLINK("https://ra-matina.ru/?vendor_code=DSS-5А")</f>
        <v>https://ra-matina.ru/?vendor_code=DSS-5А</v>
      </c>
      <c r="D92" s="53" t="s">
        <v>28</v>
      </c>
      <c r="E92" s="165" t="s">
        <v>1598</v>
      </c>
      <c r="F92" s="108" t="s">
        <v>1483</v>
      </c>
      <c r="G92" s="153" t="s">
        <v>1571</v>
      </c>
      <c r="H92" s="108" t="s">
        <v>1483</v>
      </c>
      <c r="I92" s="108" t="s">
        <v>1483</v>
      </c>
      <c r="J92" s="108" t="s">
        <v>1487</v>
      </c>
      <c r="K92" s="22">
        <v>30600.0</v>
      </c>
      <c r="L92" s="22" t="s">
        <v>1483</v>
      </c>
      <c r="M92" s="22" t="s">
        <v>1483</v>
      </c>
      <c r="N92" s="18">
        <v>166005.0</v>
      </c>
      <c r="O92" s="18" t="s">
        <v>1483</v>
      </c>
      <c r="P92" s="18" t="s">
        <v>1483</v>
      </c>
      <c r="Q92" s="121"/>
      <c r="R92" s="121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</row>
    <row r="93" ht="13.5" customHeight="1">
      <c r="A93" s="53" t="s">
        <v>1599</v>
      </c>
      <c r="B93" s="158" t="s">
        <v>1597</v>
      </c>
      <c r="C93" s="164" t="str">
        <f>HYPERLINK("https://ra-matina.ru/?vendor_code=DSS-5А1")</f>
        <v>https://ra-matina.ru/?vendor_code=DSS-5А1</v>
      </c>
      <c r="D93" s="53" t="s">
        <v>28</v>
      </c>
      <c r="E93" s="165" t="s">
        <v>1598</v>
      </c>
      <c r="F93" s="108" t="s">
        <v>1483</v>
      </c>
      <c r="G93" s="153" t="s">
        <v>1571</v>
      </c>
      <c r="H93" s="108" t="s">
        <v>1483</v>
      </c>
      <c r="I93" s="108" t="s">
        <v>1483</v>
      </c>
      <c r="J93" s="108" t="s">
        <v>1487</v>
      </c>
      <c r="K93" s="22" t="s">
        <v>1483</v>
      </c>
      <c r="L93" s="22">
        <v>15300.0</v>
      </c>
      <c r="M93" s="22" t="s">
        <v>1483</v>
      </c>
      <c r="N93" s="18" t="s">
        <v>1483</v>
      </c>
      <c r="O93" s="18">
        <v>9098.0</v>
      </c>
      <c r="P93" s="18" t="s">
        <v>1483</v>
      </c>
      <c r="Q93" s="121"/>
      <c r="R93" s="121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</row>
    <row r="94" ht="13.5" customHeight="1">
      <c r="A94" s="53" t="s">
        <v>1600</v>
      </c>
      <c r="B94" s="158" t="s">
        <v>1597</v>
      </c>
      <c r="C94" s="164" t="str">
        <f>HYPERLINK("https://ra-matina.ru/?vendor_code=DSS-5А2")</f>
        <v>https://ra-matina.ru/?vendor_code=DSS-5А2</v>
      </c>
      <c r="D94" s="53" t="s">
        <v>28</v>
      </c>
      <c r="E94" s="165" t="s">
        <v>1598</v>
      </c>
      <c r="F94" s="108" t="s">
        <v>1483</v>
      </c>
      <c r="G94" s="153" t="s">
        <v>1571</v>
      </c>
      <c r="H94" s="108" t="s">
        <v>1483</v>
      </c>
      <c r="I94" s="108" t="s">
        <v>1483</v>
      </c>
      <c r="J94" s="108" t="s">
        <v>1487</v>
      </c>
      <c r="K94" s="22" t="s">
        <v>1483</v>
      </c>
      <c r="L94" s="22" t="s">
        <v>1483</v>
      </c>
      <c r="M94" s="22">
        <v>6120.0</v>
      </c>
      <c r="N94" s="18" t="s">
        <v>1483</v>
      </c>
      <c r="O94" s="18" t="s">
        <v>1483</v>
      </c>
      <c r="P94" s="18">
        <v>44268.0</v>
      </c>
      <c r="Q94" s="121"/>
      <c r="R94" s="121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</row>
    <row r="95" ht="13.5" customHeight="1">
      <c r="A95" s="53" t="s">
        <v>1601</v>
      </c>
      <c r="B95" s="158" t="s">
        <v>1597</v>
      </c>
      <c r="C95" s="164" t="str">
        <f>HYPERLINK("https://ra-matina.ru/?vendor_code=DSS-5Б")</f>
        <v>https://ra-matina.ru/?vendor_code=DSS-5Б</v>
      </c>
      <c r="D95" s="53" t="s">
        <v>28</v>
      </c>
      <c r="E95" s="165" t="s">
        <v>1598</v>
      </c>
      <c r="F95" s="108" t="s">
        <v>1483</v>
      </c>
      <c r="G95" s="153" t="s">
        <v>1571</v>
      </c>
      <c r="H95" s="108" t="s">
        <v>1483</v>
      </c>
      <c r="I95" s="108" t="s">
        <v>1483</v>
      </c>
      <c r="J95" s="108" t="s">
        <v>1488</v>
      </c>
      <c r="K95" s="22">
        <v>30600.0</v>
      </c>
      <c r="L95" s="22" t="s">
        <v>1483</v>
      </c>
      <c r="M95" s="22" t="s">
        <v>1483</v>
      </c>
      <c r="N95" s="18">
        <v>332010.0</v>
      </c>
      <c r="O95" s="18" t="s">
        <v>1483</v>
      </c>
      <c r="P95" s="18" t="s">
        <v>1483</v>
      </c>
      <c r="Q95" s="121"/>
      <c r="R95" s="121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</row>
    <row r="96" ht="13.5" customHeight="1">
      <c r="A96" s="53" t="s">
        <v>1602</v>
      </c>
      <c r="B96" s="158" t="s">
        <v>1597</v>
      </c>
      <c r="C96" s="164" t="str">
        <f>HYPERLINK("https://ra-matina.ru/?vendor_code=DSS-5Б1")</f>
        <v>https://ra-matina.ru/?vendor_code=DSS-5Б1</v>
      </c>
      <c r="D96" s="53" t="s">
        <v>28</v>
      </c>
      <c r="E96" s="165" t="s">
        <v>1598</v>
      </c>
      <c r="F96" s="108" t="s">
        <v>1483</v>
      </c>
      <c r="G96" s="153" t="s">
        <v>1571</v>
      </c>
      <c r="H96" s="108" t="s">
        <v>1483</v>
      </c>
      <c r="I96" s="108" t="s">
        <v>1483</v>
      </c>
      <c r="J96" s="108" t="s">
        <v>1488</v>
      </c>
      <c r="K96" s="22" t="s">
        <v>1483</v>
      </c>
      <c r="L96" s="22">
        <v>15300.0</v>
      </c>
      <c r="M96" s="22" t="s">
        <v>1483</v>
      </c>
      <c r="N96" s="18" t="s">
        <v>1483</v>
      </c>
      <c r="O96" s="18">
        <v>181815.0</v>
      </c>
      <c r="P96" s="18" t="s">
        <v>1483</v>
      </c>
      <c r="Q96" s="121"/>
      <c r="R96" s="121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</row>
    <row r="97" ht="13.5" customHeight="1">
      <c r="A97" s="53" t="s">
        <v>1603</v>
      </c>
      <c r="B97" s="158" t="s">
        <v>1597</v>
      </c>
      <c r="C97" s="164" t="str">
        <f>HYPERLINK("https://ra-matina.ru/?vendor_code=DSS-5Б2")</f>
        <v>https://ra-matina.ru/?vendor_code=DSS-5Б2</v>
      </c>
      <c r="D97" s="53" t="s">
        <v>28</v>
      </c>
      <c r="E97" s="165" t="s">
        <v>1598</v>
      </c>
      <c r="F97" s="108" t="s">
        <v>1483</v>
      </c>
      <c r="G97" s="153" t="s">
        <v>1571</v>
      </c>
      <c r="H97" s="108" t="s">
        <v>1483</v>
      </c>
      <c r="I97" s="108" t="s">
        <v>1483</v>
      </c>
      <c r="J97" s="108" t="s">
        <v>1488</v>
      </c>
      <c r="K97" s="22" t="s">
        <v>1483</v>
      </c>
      <c r="L97" s="124" t="s">
        <v>1483</v>
      </c>
      <c r="M97" s="22">
        <v>6120.0</v>
      </c>
      <c r="N97" s="18" t="s">
        <v>1483</v>
      </c>
      <c r="O97" s="18" t="s">
        <v>1483</v>
      </c>
      <c r="P97" s="18">
        <v>88536.0</v>
      </c>
      <c r="Q97" s="121"/>
      <c r="R97" s="121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</row>
    <row r="98" ht="13.5" customHeight="1">
      <c r="A98" s="110" t="s">
        <v>1604</v>
      </c>
      <c r="B98" s="153" t="s">
        <v>1605</v>
      </c>
      <c r="C98" s="17" t="str">
        <f>HYPERLINK("https://ra-matina.ru/?vendor_code=KRD009B42GGDH")</f>
        <v>https://ra-matina.ru/?vendor_code=KRD009B42GGDH</v>
      </c>
      <c r="D98" s="18" t="s">
        <v>1606</v>
      </c>
      <c r="E98" s="22" t="s">
        <v>1607</v>
      </c>
      <c r="F98" s="108" t="s">
        <v>1483</v>
      </c>
      <c r="G98" s="108" t="s">
        <v>1483</v>
      </c>
      <c r="H98" s="134">
        <v>5.85</v>
      </c>
      <c r="I98" s="134">
        <v>46.96</v>
      </c>
      <c r="J98" s="108" t="s">
        <v>1487</v>
      </c>
      <c r="K98" s="22" t="s">
        <v>1483</v>
      </c>
      <c r="L98" s="22" t="s">
        <v>1483</v>
      </c>
      <c r="M98" s="22" t="s">
        <v>1483</v>
      </c>
      <c r="N98" s="18" t="s">
        <v>1483</v>
      </c>
      <c r="O98" s="18">
        <v>63360.0</v>
      </c>
      <c r="P98" s="18" t="s">
        <v>1483</v>
      </c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</row>
    <row r="99" ht="13.5" customHeight="1">
      <c r="A99" s="15" t="s">
        <v>1608</v>
      </c>
      <c r="B99" s="59" t="s">
        <v>1609</v>
      </c>
      <c r="C99" s="106" t="str">
        <f>HYPERLINK("https://ra-matina.ru/?vendor_code=KrbilN077А5")</f>
        <v>https://ra-matina.ru/?vendor_code=KrbilN077А5</v>
      </c>
      <c r="D99" s="15" t="s">
        <v>760</v>
      </c>
      <c r="E99" s="22" t="s">
        <v>1483</v>
      </c>
      <c r="F99" s="108" t="s">
        <v>1483</v>
      </c>
      <c r="G99" s="108" t="s">
        <v>1483</v>
      </c>
      <c r="H99" s="134">
        <v>5.19</v>
      </c>
      <c r="I99" s="135">
        <v>41.72</v>
      </c>
      <c r="J99" s="108" t="s">
        <v>1487</v>
      </c>
      <c r="K99" s="22" t="s">
        <v>1483</v>
      </c>
      <c r="L99" s="22" t="s">
        <v>1483</v>
      </c>
      <c r="M99" s="22" t="s">
        <v>1483</v>
      </c>
      <c r="N99" s="18">
        <v>41000.0</v>
      </c>
      <c r="O99" s="18" t="s">
        <v>1483</v>
      </c>
      <c r="P99" s="18" t="s">
        <v>1483</v>
      </c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</row>
    <row r="100" ht="13.5" customHeight="1">
      <c r="A100" s="110" t="s">
        <v>1610</v>
      </c>
      <c r="B100" s="153" t="s">
        <v>1611</v>
      </c>
      <c r="C100" s="17" t="str">
        <f>HYPERLINK("https://ra-matina.ru/?vendor_code=KRD0003A10KLDB")</f>
        <v>https://ra-matina.ru/?vendor_code=KRD0003A10KLDB</v>
      </c>
      <c r="D100" s="18" t="s">
        <v>1547</v>
      </c>
      <c r="E100" s="22" t="s">
        <v>1504</v>
      </c>
      <c r="F100" s="108" t="s">
        <v>1483</v>
      </c>
      <c r="G100" s="108" t="s">
        <v>1483</v>
      </c>
      <c r="H100" s="108" t="s">
        <v>1483</v>
      </c>
      <c r="I100" s="108" t="s">
        <v>1483</v>
      </c>
      <c r="J100" s="108" t="s">
        <v>1487</v>
      </c>
      <c r="K100" s="22" t="s">
        <v>1483</v>
      </c>
      <c r="L100" s="22" t="s">
        <v>1483</v>
      </c>
      <c r="M100" s="22" t="s">
        <v>1483</v>
      </c>
      <c r="N100" s="18" t="s">
        <v>1483</v>
      </c>
      <c r="O100" s="18">
        <v>30000.0</v>
      </c>
      <c r="P100" s="18" t="s">
        <v>1483</v>
      </c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</row>
    <row r="101" ht="13.5" customHeight="1">
      <c r="A101" s="163" t="s">
        <v>1612</v>
      </c>
      <c r="B101" s="167" t="s">
        <v>1613</v>
      </c>
      <c r="C101" s="168" t="str">
        <f>HYPERLINK("https://ra-matina.ru/?vendor_code=DSS-2А")</f>
        <v>https://ra-matina.ru/?vendor_code=DSS-2А</v>
      </c>
      <c r="D101" s="53" t="s">
        <v>28</v>
      </c>
      <c r="E101" s="124" t="s">
        <v>1512</v>
      </c>
      <c r="F101" s="160" t="s">
        <v>1559</v>
      </c>
      <c r="G101" s="112" t="s">
        <v>1560</v>
      </c>
      <c r="H101" s="160">
        <v>270.71</v>
      </c>
      <c r="I101" s="160">
        <v>1958.25</v>
      </c>
      <c r="J101" s="118" t="s">
        <v>1487</v>
      </c>
      <c r="K101" s="22" t="s">
        <v>1483</v>
      </c>
      <c r="L101" s="22" t="s">
        <v>1483</v>
      </c>
      <c r="M101" s="22">
        <v>6840.0</v>
      </c>
      <c r="N101" s="18" t="s">
        <v>1483</v>
      </c>
      <c r="O101" s="18" t="s">
        <v>1483</v>
      </c>
      <c r="P101" s="18">
        <v>90000.0</v>
      </c>
      <c r="Q101" s="121"/>
      <c r="R101" s="121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</row>
    <row r="102" ht="13.5" customHeight="1">
      <c r="A102" s="163" t="s">
        <v>1614</v>
      </c>
      <c r="B102" s="167" t="s">
        <v>1613</v>
      </c>
      <c r="C102" s="168" t="str">
        <f>HYPERLINK("https://ra-matina.ru/?vendor_code=DSS-2Б")</f>
        <v>https://ra-matina.ru/?vendor_code=DSS-2Б</v>
      </c>
      <c r="D102" s="53" t="s">
        <v>28</v>
      </c>
      <c r="E102" s="124" t="s">
        <v>1512</v>
      </c>
      <c r="F102" s="160" t="s">
        <v>1559</v>
      </c>
      <c r="G102" s="112" t="s">
        <v>1560</v>
      </c>
      <c r="H102" s="160">
        <v>270.71</v>
      </c>
      <c r="I102" s="160">
        <v>1958.25</v>
      </c>
      <c r="J102" s="118" t="s">
        <v>1488</v>
      </c>
      <c r="K102" s="22" t="s">
        <v>1483</v>
      </c>
      <c r="L102" s="22" t="s">
        <v>1483</v>
      </c>
      <c r="M102" s="22">
        <v>6840.0</v>
      </c>
      <c r="N102" s="18" t="s">
        <v>1483</v>
      </c>
      <c r="O102" s="18" t="s">
        <v>1483</v>
      </c>
      <c r="P102" s="18">
        <v>180000.0</v>
      </c>
      <c r="Q102" s="121"/>
      <c r="R102" s="121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</row>
    <row r="103" ht="13.5" customHeight="1">
      <c r="A103" s="15" t="s">
        <v>1615</v>
      </c>
      <c r="B103" s="59" t="s">
        <v>1616</v>
      </c>
      <c r="C103" s="106" t="str">
        <f>HYPERLINK("https://ra-matina.ru/?vendor_code=KrbilN103А5")</f>
        <v>https://ra-matina.ru/?vendor_code=KrbilN103А5</v>
      </c>
      <c r="D103" s="53" t="s">
        <v>760</v>
      </c>
      <c r="E103" s="22" t="s">
        <v>1483</v>
      </c>
      <c r="F103" s="108" t="s">
        <v>1483</v>
      </c>
      <c r="G103" s="108" t="s">
        <v>1483</v>
      </c>
      <c r="H103" s="134">
        <v>6.08</v>
      </c>
      <c r="I103" s="135">
        <v>48.87</v>
      </c>
      <c r="J103" s="108" t="s">
        <v>1487</v>
      </c>
      <c r="K103" s="22" t="s">
        <v>1483</v>
      </c>
      <c r="L103" s="22" t="s">
        <v>1483</v>
      </c>
      <c r="M103" s="22" t="s">
        <v>1483</v>
      </c>
      <c r="N103" s="18">
        <v>41000.0</v>
      </c>
      <c r="O103" s="18" t="s">
        <v>1483</v>
      </c>
      <c r="P103" s="18" t="s">
        <v>1483</v>
      </c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</row>
    <row r="104" ht="13.5" customHeight="1">
      <c r="A104" s="110" t="s">
        <v>1617</v>
      </c>
      <c r="B104" s="153" t="s">
        <v>1618</v>
      </c>
      <c r="C104" s="17" t="str">
        <f>HYPERLINK("https://ra-matina.ru/?vendor_code=KRD0006A11KLDH")</f>
        <v>https://ra-matina.ru/?vendor_code=KRD0006A11KLDH</v>
      </c>
      <c r="D104" s="110" t="s">
        <v>1619</v>
      </c>
      <c r="E104" s="22" t="s">
        <v>1620</v>
      </c>
      <c r="F104" s="108" t="s">
        <v>1483</v>
      </c>
      <c r="G104" s="108" t="s">
        <v>1483</v>
      </c>
      <c r="H104" s="108" t="s">
        <v>1483</v>
      </c>
      <c r="I104" s="108" t="s">
        <v>1483</v>
      </c>
      <c r="J104" s="108" t="s">
        <v>1487</v>
      </c>
      <c r="K104" s="22" t="s">
        <v>1483</v>
      </c>
      <c r="L104" s="22" t="s">
        <v>1483</v>
      </c>
      <c r="M104" s="22" t="s">
        <v>1483</v>
      </c>
      <c r="N104" s="18" t="s">
        <v>1483</v>
      </c>
      <c r="O104" s="18">
        <v>57000.0</v>
      </c>
      <c r="P104" s="18" t="s">
        <v>1483</v>
      </c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</row>
    <row r="105" ht="13.5" customHeight="1">
      <c r="A105" s="110" t="s">
        <v>1621</v>
      </c>
      <c r="B105" s="153" t="s">
        <v>1622</v>
      </c>
      <c r="C105" s="17" t="s">
        <v>1623</v>
      </c>
      <c r="D105" s="110" t="s">
        <v>423</v>
      </c>
      <c r="E105" s="22" t="s">
        <v>1624</v>
      </c>
      <c r="F105" s="108" t="s">
        <v>1625</v>
      </c>
      <c r="G105" s="81" t="s">
        <v>1482</v>
      </c>
      <c r="H105" s="108" t="s">
        <v>1483</v>
      </c>
      <c r="I105" s="108" t="s">
        <v>1483</v>
      </c>
      <c r="J105" s="108"/>
      <c r="K105" s="22" t="s">
        <v>1484</v>
      </c>
      <c r="L105" s="22" t="s">
        <v>1492</v>
      </c>
      <c r="M105" s="22" t="s">
        <v>1515</v>
      </c>
      <c r="N105" s="18" t="s">
        <v>1484</v>
      </c>
      <c r="O105" s="18" t="s">
        <v>1492</v>
      </c>
      <c r="P105" s="18" t="s">
        <v>1515</v>
      </c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</row>
    <row r="106" ht="13.5" customHeight="1">
      <c r="A106" s="110"/>
      <c r="B106" s="153"/>
      <c r="C106" s="17"/>
      <c r="D106" s="110"/>
      <c r="E106" s="22"/>
      <c r="F106" s="108"/>
      <c r="G106" s="81"/>
      <c r="H106" s="108"/>
      <c r="I106" s="108"/>
      <c r="J106" s="108" t="s">
        <v>1487</v>
      </c>
      <c r="K106" s="22">
        <v>37200.0</v>
      </c>
      <c r="L106" s="22">
        <v>12400.0</v>
      </c>
      <c r="M106" s="22">
        <v>7440.0</v>
      </c>
      <c r="N106" s="18">
        <v>456000.0</v>
      </c>
      <c r="O106" s="18">
        <v>192000.0</v>
      </c>
      <c r="P106" s="18">
        <v>120000.0</v>
      </c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</row>
    <row r="107" ht="13.5" customHeight="1">
      <c r="A107" s="110"/>
      <c r="B107" s="153"/>
      <c r="C107" s="17"/>
      <c r="D107" s="110"/>
      <c r="E107" s="22"/>
      <c r="F107" s="108"/>
      <c r="G107" s="81"/>
      <c r="H107" s="108"/>
      <c r="I107" s="108"/>
      <c r="J107" s="108" t="s">
        <v>1488</v>
      </c>
      <c r="K107" s="22">
        <v>37200.0</v>
      </c>
      <c r="L107" s="22">
        <v>12400.0</v>
      </c>
      <c r="M107" s="22">
        <v>7440.0</v>
      </c>
      <c r="N107" s="18">
        <v>756000.0</v>
      </c>
      <c r="O107" s="18">
        <v>326000.0</v>
      </c>
      <c r="P107" s="18">
        <v>204000.0</v>
      </c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</row>
    <row r="108" ht="13.5" customHeight="1">
      <c r="A108" s="53" t="s">
        <v>1626</v>
      </c>
      <c r="B108" s="16" t="s">
        <v>1627</v>
      </c>
      <c r="C108" s="106" t="str">
        <f>HYPERLINK("https://ra-matina.ru/?vendor_code=DSS-4А")</f>
        <v>https://ra-matina.ru/?vendor_code=DSS-4А</v>
      </c>
      <c r="D108" s="53" t="s">
        <v>28</v>
      </c>
      <c r="E108" s="165" t="s">
        <v>1628</v>
      </c>
      <c r="F108" s="108" t="s">
        <v>1483</v>
      </c>
      <c r="G108" s="153" t="s">
        <v>1571</v>
      </c>
      <c r="H108" s="108" t="s">
        <v>1483</v>
      </c>
      <c r="I108" s="108" t="s">
        <v>1483</v>
      </c>
      <c r="J108" s="108" t="s">
        <v>1487</v>
      </c>
      <c r="K108" s="22">
        <v>30600.0</v>
      </c>
      <c r="L108" s="22" t="s">
        <v>1483</v>
      </c>
      <c r="M108" s="22" t="s">
        <v>1483</v>
      </c>
      <c r="N108" s="18">
        <v>32130.0</v>
      </c>
      <c r="O108" s="18" t="s">
        <v>1483</v>
      </c>
      <c r="P108" s="18" t="s">
        <v>1483</v>
      </c>
      <c r="Q108" s="121"/>
      <c r="R108" s="121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</row>
    <row r="109" ht="13.5" customHeight="1">
      <c r="A109" s="53" t="s">
        <v>1629</v>
      </c>
      <c r="B109" s="16" t="s">
        <v>1627</v>
      </c>
      <c r="C109" s="106" t="str">
        <f>HYPERLINK("https://ra-matina.ru/?vendor_code=DSS-4А1")</f>
        <v>https://ra-matina.ru/?vendor_code=DSS-4А1</v>
      </c>
      <c r="D109" s="53" t="s">
        <v>28</v>
      </c>
      <c r="E109" s="165" t="s">
        <v>1628</v>
      </c>
      <c r="F109" s="108" t="s">
        <v>1483</v>
      </c>
      <c r="G109" s="153" t="s">
        <v>1571</v>
      </c>
      <c r="H109" s="108" t="s">
        <v>1483</v>
      </c>
      <c r="I109" s="108" t="s">
        <v>1483</v>
      </c>
      <c r="J109" s="108" t="s">
        <v>1487</v>
      </c>
      <c r="K109" s="22" t="s">
        <v>1483</v>
      </c>
      <c r="L109" s="22">
        <v>15300.0</v>
      </c>
      <c r="M109" s="22" t="s">
        <v>1483</v>
      </c>
      <c r="N109" s="18" t="s">
        <v>1483</v>
      </c>
      <c r="O109" s="18">
        <v>90908.0</v>
      </c>
      <c r="P109" s="18" t="s">
        <v>1483</v>
      </c>
      <c r="Q109" s="121"/>
      <c r="R109" s="121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</row>
    <row r="110" ht="13.5" customHeight="1">
      <c r="A110" s="53" t="s">
        <v>1630</v>
      </c>
      <c r="B110" s="16" t="s">
        <v>1627</v>
      </c>
      <c r="C110" s="106" t="str">
        <f>HYPERLINK("https://ra-matina.ru/?vendor_code=DSS-4А2")</f>
        <v>https://ra-matina.ru/?vendor_code=DSS-4А2</v>
      </c>
      <c r="D110" s="53" t="s">
        <v>28</v>
      </c>
      <c r="E110" s="165" t="s">
        <v>1628</v>
      </c>
      <c r="F110" s="108" t="s">
        <v>1483</v>
      </c>
      <c r="G110" s="153" t="s">
        <v>1571</v>
      </c>
      <c r="H110" s="108" t="s">
        <v>1483</v>
      </c>
      <c r="I110" s="108" t="s">
        <v>1483</v>
      </c>
      <c r="J110" s="108" t="s">
        <v>1487</v>
      </c>
      <c r="K110" s="22" t="s">
        <v>1483</v>
      </c>
      <c r="L110" s="22" t="s">
        <v>1483</v>
      </c>
      <c r="M110" s="22">
        <v>6120.0</v>
      </c>
      <c r="N110" s="18" t="s">
        <v>1483</v>
      </c>
      <c r="O110" s="18" t="s">
        <v>1483</v>
      </c>
      <c r="P110" s="18">
        <v>44268.0</v>
      </c>
      <c r="Q110" s="121"/>
      <c r="R110" s="121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</row>
    <row r="111" ht="13.5" customHeight="1">
      <c r="A111" s="53" t="s">
        <v>1631</v>
      </c>
      <c r="B111" s="16" t="s">
        <v>1627</v>
      </c>
      <c r="C111" s="106" t="str">
        <f>HYPERLINK("https://ra-matina.ru/?vendor_code=DSS-4Б")</f>
        <v>https://ra-matina.ru/?vendor_code=DSS-4Б</v>
      </c>
      <c r="D111" s="53" t="s">
        <v>28</v>
      </c>
      <c r="E111" s="165" t="s">
        <v>1628</v>
      </c>
      <c r="F111" s="108" t="s">
        <v>1483</v>
      </c>
      <c r="G111" s="153" t="s">
        <v>1571</v>
      </c>
      <c r="H111" s="108" t="s">
        <v>1483</v>
      </c>
      <c r="I111" s="108" t="s">
        <v>1483</v>
      </c>
      <c r="J111" s="108" t="s">
        <v>1488</v>
      </c>
      <c r="K111" s="22">
        <v>30600.0</v>
      </c>
      <c r="L111" s="22" t="s">
        <v>1483</v>
      </c>
      <c r="M111" s="22" t="s">
        <v>1483</v>
      </c>
      <c r="N111" s="18">
        <v>442680.0</v>
      </c>
      <c r="O111" s="18" t="s">
        <v>1483</v>
      </c>
      <c r="P111" s="18" t="s">
        <v>1483</v>
      </c>
      <c r="Q111" s="121"/>
      <c r="R111" s="121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</row>
    <row r="112" ht="13.5" customHeight="1">
      <c r="A112" s="53" t="s">
        <v>1632</v>
      </c>
      <c r="B112" s="16" t="s">
        <v>1627</v>
      </c>
      <c r="C112" s="106" t="str">
        <f>HYPERLINK("https://ra-matina.ru/?vendor_code=DSS-4Б1")</f>
        <v>https://ra-matina.ru/?vendor_code=DSS-4Б1</v>
      </c>
      <c r="D112" s="53" t="s">
        <v>28</v>
      </c>
      <c r="E112" s="165" t="s">
        <v>1628</v>
      </c>
      <c r="F112" s="108" t="s">
        <v>1483</v>
      </c>
      <c r="G112" s="153" t="s">
        <v>1571</v>
      </c>
      <c r="H112" s="108" t="s">
        <v>1483</v>
      </c>
      <c r="I112" s="108" t="s">
        <v>1483</v>
      </c>
      <c r="J112" s="108" t="s">
        <v>1488</v>
      </c>
      <c r="K112" s="22" t="s">
        <v>1483</v>
      </c>
      <c r="L112" s="22">
        <v>15300.0</v>
      </c>
      <c r="M112" s="22" t="s">
        <v>1483</v>
      </c>
      <c r="N112" s="18" t="s">
        <v>1483</v>
      </c>
      <c r="O112" s="18">
        <v>181815.0</v>
      </c>
      <c r="P112" s="18" t="s">
        <v>1483</v>
      </c>
      <c r="Q112" s="121"/>
      <c r="R112" s="121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</row>
    <row r="113" ht="13.5" customHeight="1">
      <c r="A113" s="53" t="s">
        <v>1633</v>
      </c>
      <c r="B113" s="16" t="s">
        <v>1627</v>
      </c>
      <c r="C113" s="106" t="str">
        <f>HYPERLINK("https://ra-matina.ru/?vendor_code=DSS-4Б2")</f>
        <v>https://ra-matina.ru/?vendor_code=DSS-4Б2</v>
      </c>
      <c r="D113" s="53" t="s">
        <v>28</v>
      </c>
      <c r="E113" s="165" t="s">
        <v>1628</v>
      </c>
      <c r="F113" s="108" t="s">
        <v>1483</v>
      </c>
      <c r="G113" s="153" t="s">
        <v>1571</v>
      </c>
      <c r="H113" s="108" t="s">
        <v>1483</v>
      </c>
      <c r="I113" s="108" t="s">
        <v>1483</v>
      </c>
      <c r="J113" s="108" t="s">
        <v>1488</v>
      </c>
      <c r="K113" s="22" t="s">
        <v>1483</v>
      </c>
      <c r="L113" s="124" t="s">
        <v>1483</v>
      </c>
      <c r="M113" s="22">
        <v>6120.0</v>
      </c>
      <c r="N113" s="18" t="s">
        <v>1483</v>
      </c>
      <c r="O113" s="18" t="s">
        <v>1483</v>
      </c>
      <c r="P113" s="18">
        <v>88536.0</v>
      </c>
      <c r="Q113" s="121"/>
      <c r="R113" s="121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</row>
    <row r="114" ht="13.5" customHeight="1">
      <c r="A114" s="110" t="s">
        <v>1634</v>
      </c>
      <c r="B114" s="153" t="s">
        <v>1635</v>
      </c>
      <c r="C114" s="17" t="str">
        <f>HYPERLINK("https://ra-matina.ru/?vendor_code=KRD0001A32KLDH")</f>
        <v>https://ra-matina.ru/?vendor_code=KRD0001A32KLDH</v>
      </c>
      <c r="D114" s="18" t="s">
        <v>1636</v>
      </c>
      <c r="E114" s="22" t="s">
        <v>1508</v>
      </c>
      <c r="F114" s="108" t="s">
        <v>1483</v>
      </c>
      <c r="G114" s="108" t="s">
        <v>1483</v>
      </c>
      <c r="H114" s="108" t="s">
        <v>1483</v>
      </c>
      <c r="I114" s="108" t="s">
        <v>1483</v>
      </c>
      <c r="J114" s="108" t="s">
        <v>1487</v>
      </c>
      <c r="K114" s="22" t="s">
        <v>1483</v>
      </c>
      <c r="L114" s="22" t="s">
        <v>1483</v>
      </c>
      <c r="M114" s="22" t="s">
        <v>1483</v>
      </c>
      <c r="N114" s="18" t="s">
        <v>1483</v>
      </c>
      <c r="O114" s="18">
        <v>30000.0</v>
      </c>
      <c r="P114" s="18" t="s">
        <v>1483</v>
      </c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</row>
    <row r="115" ht="10.5" customHeight="1">
      <c r="A115" s="169"/>
      <c r="B115" s="170"/>
      <c r="C115" s="170"/>
      <c r="D115" s="170"/>
      <c r="E115" s="170"/>
      <c r="F115" s="170"/>
      <c r="G115" s="170"/>
      <c r="H115" s="109"/>
      <c r="I115" s="109"/>
      <c r="J115" s="109"/>
      <c r="K115" s="171"/>
      <c r="L115" s="171"/>
      <c r="M115" s="171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</row>
    <row r="116" ht="10.5" customHeight="1">
      <c r="A116" s="169"/>
      <c r="B116" s="170"/>
      <c r="C116" s="170"/>
      <c r="D116" s="170"/>
      <c r="E116" s="170"/>
      <c r="F116" s="170"/>
      <c r="G116" s="170"/>
      <c r="H116" s="109"/>
      <c r="I116" s="109"/>
      <c r="J116" s="109"/>
      <c r="K116" s="171"/>
      <c r="L116" s="171"/>
      <c r="M116" s="171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</row>
    <row r="117" ht="10.5" customHeight="1">
      <c r="A117" s="169"/>
      <c r="B117" s="170"/>
      <c r="C117" s="170"/>
      <c r="D117" s="170"/>
      <c r="E117" s="170"/>
      <c r="F117" s="170"/>
      <c r="G117" s="170"/>
      <c r="H117" s="109"/>
      <c r="I117" s="109"/>
      <c r="J117" s="109"/>
      <c r="K117" s="171"/>
      <c r="L117" s="171"/>
      <c r="M117" s="171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</row>
    <row r="118" ht="10.5" customHeight="1">
      <c r="A118" s="169"/>
      <c r="B118" s="170"/>
      <c r="C118" s="170"/>
      <c r="D118" s="170"/>
      <c r="E118" s="170"/>
      <c r="F118" s="170"/>
      <c r="G118" s="170"/>
      <c r="H118" s="109"/>
      <c r="I118" s="109"/>
      <c r="J118" s="109"/>
      <c r="K118" s="171"/>
      <c r="L118" s="171"/>
      <c r="M118" s="171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</row>
    <row r="119" ht="10.5" customHeight="1">
      <c r="A119" s="169"/>
      <c r="B119" s="170"/>
      <c r="C119" s="170"/>
      <c r="D119" s="170"/>
      <c r="E119" s="170"/>
      <c r="F119" s="170"/>
      <c r="G119" s="170"/>
      <c r="H119" s="109"/>
      <c r="I119" s="109"/>
      <c r="J119" s="109"/>
      <c r="K119" s="171"/>
      <c r="L119" s="171"/>
      <c r="M119" s="171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</row>
    <row r="120" ht="10.5" customHeight="1">
      <c r="A120" s="169"/>
      <c r="B120" s="170"/>
      <c r="C120" s="170"/>
      <c r="D120" s="170"/>
      <c r="E120" s="170"/>
      <c r="F120" s="170"/>
      <c r="G120" s="170"/>
      <c r="H120" s="109"/>
      <c r="I120" s="109"/>
      <c r="J120" s="109"/>
      <c r="K120" s="171"/>
      <c r="L120" s="171"/>
      <c r="M120" s="171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</row>
    <row r="121" ht="10.5" customHeight="1">
      <c r="A121" s="169"/>
      <c r="B121" s="170"/>
      <c r="C121" s="170"/>
      <c r="D121" s="170"/>
      <c r="E121" s="170"/>
      <c r="F121" s="170"/>
      <c r="G121" s="170"/>
      <c r="H121" s="109"/>
      <c r="I121" s="109"/>
      <c r="J121" s="109"/>
      <c r="K121" s="171"/>
      <c r="L121" s="171"/>
      <c r="M121" s="171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</row>
    <row r="122" ht="10.5" customHeight="1">
      <c r="A122" s="169"/>
      <c r="B122" s="170"/>
      <c r="C122" s="170"/>
      <c r="D122" s="170"/>
      <c r="E122" s="170"/>
      <c r="F122" s="170"/>
      <c r="G122" s="170"/>
      <c r="H122" s="109"/>
      <c r="I122" s="109"/>
      <c r="J122" s="109"/>
      <c r="K122" s="171"/>
      <c r="L122" s="171"/>
      <c r="M122" s="171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</row>
    <row r="123" ht="10.5" customHeight="1">
      <c r="A123" s="169"/>
      <c r="B123" s="170"/>
      <c r="C123" s="170"/>
      <c r="D123" s="170"/>
      <c r="E123" s="170"/>
      <c r="F123" s="170"/>
      <c r="G123" s="170"/>
      <c r="H123" s="109"/>
      <c r="I123" s="109"/>
      <c r="J123" s="109"/>
      <c r="K123" s="171"/>
      <c r="L123" s="171"/>
      <c r="M123" s="171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</row>
    <row r="124" ht="10.5" customHeight="1">
      <c r="A124" s="169"/>
      <c r="B124" s="170"/>
      <c r="C124" s="170"/>
      <c r="D124" s="170"/>
      <c r="E124" s="170"/>
      <c r="F124" s="170"/>
      <c r="G124" s="170"/>
      <c r="H124" s="109"/>
      <c r="I124" s="109"/>
      <c r="J124" s="109"/>
      <c r="K124" s="171"/>
      <c r="L124" s="171"/>
      <c r="M124" s="171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</row>
    <row r="125" ht="10.5" customHeight="1">
      <c r="A125" s="169"/>
      <c r="B125" s="170"/>
      <c r="C125" s="170"/>
      <c r="D125" s="170"/>
      <c r="E125" s="170"/>
      <c r="F125" s="170"/>
      <c r="G125" s="170"/>
      <c r="H125" s="109"/>
      <c r="I125" s="109"/>
      <c r="J125" s="109"/>
      <c r="K125" s="171"/>
      <c r="L125" s="171"/>
      <c r="M125" s="171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</row>
    <row r="126" ht="10.5" customHeight="1">
      <c r="A126" s="169"/>
      <c r="B126" s="170"/>
      <c r="C126" s="170"/>
      <c r="D126" s="170"/>
      <c r="E126" s="170"/>
      <c r="F126" s="170"/>
      <c r="G126" s="170"/>
      <c r="H126" s="109"/>
      <c r="I126" s="109"/>
      <c r="J126" s="109"/>
      <c r="K126" s="171"/>
      <c r="L126" s="171"/>
      <c r="M126" s="171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</row>
    <row r="127" ht="10.5" customHeight="1">
      <c r="A127" s="169"/>
      <c r="B127" s="170"/>
      <c r="C127" s="170"/>
      <c r="D127" s="170"/>
      <c r="E127" s="170"/>
      <c r="F127" s="170"/>
      <c r="G127" s="170"/>
      <c r="H127" s="109"/>
      <c r="I127" s="109"/>
      <c r="J127" s="109"/>
      <c r="K127" s="171"/>
      <c r="L127" s="171"/>
      <c r="M127" s="171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</row>
    <row r="128" ht="10.5" customHeight="1">
      <c r="A128" s="169"/>
      <c r="B128" s="170"/>
      <c r="C128" s="170"/>
      <c r="D128" s="170"/>
      <c r="E128" s="170"/>
      <c r="F128" s="170"/>
      <c r="G128" s="170"/>
      <c r="H128" s="109"/>
      <c r="I128" s="109"/>
      <c r="J128" s="109"/>
      <c r="K128" s="171"/>
      <c r="L128" s="171"/>
      <c r="M128" s="171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</row>
    <row r="129" ht="10.5" customHeight="1">
      <c r="A129" s="169"/>
      <c r="B129" s="170"/>
      <c r="C129" s="170"/>
      <c r="D129" s="170"/>
      <c r="E129" s="170"/>
      <c r="F129" s="170"/>
      <c r="G129" s="170"/>
      <c r="H129" s="109"/>
      <c r="I129" s="109"/>
      <c r="J129" s="109"/>
      <c r="K129" s="171"/>
      <c r="L129" s="171"/>
      <c r="M129" s="171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</row>
    <row r="130" ht="10.5" customHeight="1">
      <c r="A130" s="169"/>
      <c r="B130" s="170"/>
      <c r="C130" s="170"/>
      <c r="D130" s="170"/>
      <c r="E130" s="170"/>
      <c r="F130" s="170"/>
      <c r="G130" s="170"/>
      <c r="H130" s="109"/>
      <c r="I130" s="109"/>
      <c r="J130" s="109"/>
      <c r="K130" s="171"/>
      <c r="L130" s="171"/>
      <c r="M130" s="171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</row>
    <row r="131" ht="10.5" customHeight="1">
      <c r="A131" s="169"/>
      <c r="B131" s="170"/>
      <c r="C131" s="170"/>
      <c r="D131" s="170"/>
      <c r="E131" s="170"/>
      <c r="F131" s="170"/>
      <c r="G131" s="170"/>
      <c r="H131" s="109"/>
      <c r="I131" s="109"/>
      <c r="J131" s="109"/>
      <c r="K131" s="171"/>
      <c r="L131" s="171"/>
      <c r="M131" s="171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</row>
    <row r="132" ht="10.5" customHeight="1">
      <c r="A132" s="169"/>
      <c r="B132" s="170"/>
      <c r="C132" s="170"/>
      <c r="D132" s="170"/>
      <c r="E132" s="170"/>
      <c r="F132" s="170"/>
      <c r="G132" s="170"/>
      <c r="H132" s="109"/>
      <c r="I132" s="109"/>
      <c r="J132" s="109"/>
      <c r="K132" s="171"/>
      <c r="L132" s="171"/>
      <c r="M132" s="171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</row>
    <row r="133" ht="10.5" customHeight="1">
      <c r="A133" s="169"/>
      <c r="B133" s="170"/>
      <c r="C133" s="170"/>
      <c r="D133" s="170"/>
      <c r="E133" s="170"/>
      <c r="F133" s="170"/>
      <c r="G133" s="170"/>
      <c r="H133" s="109"/>
      <c r="I133" s="109"/>
      <c r="J133" s="109"/>
      <c r="K133" s="171"/>
      <c r="L133" s="171"/>
      <c r="M133" s="171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</row>
    <row r="134" ht="10.5" customHeight="1">
      <c r="A134" s="169"/>
      <c r="B134" s="170"/>
      <c r="C134" s="170"/>
      <c r="D134" s="170"/>
      <c r="E134" s="170"/>
      <c r="F134" s="170"/>
      <c r="G134" s="170"/>
      <c r="H134" s="109"/>
      <c r="I134" s="109"/>
      <c r="J134" s="109"/>
      <c r="K134" s="171"/>
      <c r="L134" s="171"/>
      <c r="M134" s="171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</row>
    <row r="135" ht="10.5" customHeight="1">
      <c r="A135" s="169"/>
      <c r="B135" s="170"/>
      <c r="C135" s="170"/>
      <c r="D135" s="170"/>
      <c r="E135" s="170"/>
      <c r="F135" s="170"/>
      <c r="G135" s="170"/>
      <c r="H135" s="109"/>
      <c r="I135" s="109"/>
      <c r="J135" s="109"/>
      <c r="K135" s="171"/>
      <c r="L135" s="171"/>
      <c r="M135" s="17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</row>
    <row r="136" ht="10.5" customHeight="1">
      <c r="A136" s="169"/>
      <c r="B136" s="170"/>
      <c r="C136" s="170"/>
      <c r="D136" s="170"/>
      <c r="E136" s="170"/>
      <c r="F136" s="170"/>
      <c r="G136" s="170"/>
      <c r="H136" s="109"/>
      <c r="I136" s="109"/>
      <c r="J136" s="109"/>
      <c r="K136" s="171"/>
      <c r="L136" s="171"/>
      <c r="M136" s="171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</row>
    <row r="137" ht="10.5" customHeight="1">
      <c r="A137" s="169"/>
      <c r="B137" s="170"/>
      <c r="C137" s="170"/>
      <c r="D137" s="170"/>
      <c r="E137" s="170"/>
      <c r="F137" s="170"/>
      <c r="G137" s="170"/>
      <c r="H137" s="109"/>
      <c r="I137" s="109"/>
      <c r="J137" s="109"/>
      <c r="K137" s="171"/>
      <c r="L137" s="171"/>
      <c r="M137" s="171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</row>
    <row r="138" ht="10.5" customHeight="1">
      <c r="A138" s="169"/>
      <c r="B138" s="170"/>
      <c r="C138" s="170"/>
      <c r="D138" s="170"/>
      <c r="E138" s="170"/>
      <c r="F138" s="170"/>
      <c r="G138" s="170"/>
      <c r="H138" s="109"/>
      <c r="I138" s="109"/>
      <c r="J138" s="109"/>
      <c r="K138" s="171"/>
      <c r="L138" s="171"/>
      <c r="M138" s="171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</row>
    <row r="139" ht="10.5" customHeight="1">
      <c r="A139" s="169"/>
      <c r="B139" s="170"/>
      <c r="C139" s="170"/>
      <c r="D139" s="170"/>
      <c r="E139" s="170"/>
      <c r="F139" s="170"/>
      <c r="G139" s="170"/>
      <c r="H139" s="109"/>
      <c r="I139" s="109"/>
      <c r="J139" s="109"/>
      <c r="K139" s="171"/>
      <c r="L139" s="171"/>
      <c r="M139" s="171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</row>
    <row r="140" ht="10.5" customHeight="1">
      <c r="A140" s="169"/>
      <c r="B140" s="170"/>
      <c r="C140" s="170"/>
      <c r="D140" s="170"/>
      <c r="E140" s="170"/>
      <c r="F140" s="170"/>
      <c r="G140" s="170"/>
      <c r="H140" s="109"/>
      <c r="I140" s="109"/>
      <c r="J140" s="109"/>
      <c r="K140" s="171"/>
      <c r="L140" s="171"/>
      <c r="M140" s="171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</row>
    <row r="141" ht="10.5" customHeight="1">
      <c r="A141" s="169"/>
      <c r="B141" s="170"/>
      <c r="C141" s="170"/>
      <c r="D141" s="170"/>
      <c r="E141" s="170"/>
      <c r="F141" s="170"/>
      <c r="G141" s="170"/>
      <c r="H141" s="109"/>
      <c r="I141" s="109"/>
      <c r="J141" s="109"/>
      <c r="K141" s="171"/>
      <c r="L141" s="171"/>
      <c r="M141" s="171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</row>
    <row r="142" ht="10.5" customHeight="1">
      <c r="A142" s="169"/>
      <c r="B142" s="170"/>
      <c r="C142" s="170"/>
      <c r="D142" s="170"/>
      <c r="E142" s="170"/>
      <c r="F142" s="170"/>
      <c r="G142" s="170"/>
      <c r="H142" s="109"/>
      <c r="I142" s="109"/>
      <c r="J142" s="109"/>
      <c r="K142" s="171"/>
      <c r="L142" s="171"/>
      <c r="M142" s="171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</row>
    <row r="143" ht="10.5" customHeight="1">
      <c r="A143" s="169"/>
      <c r="B143" s="170"/>
      <c r="C143" s="170"/>
      <c r="D143" s="170"/>
      <c r="E143" s="170"/>
      <c r="F143" s="170"/>
      <c r="G143" s="170"/>
      <c r="H143" s="109"/>
      <c r="I143" s="109"/>
      <c r="J143" s="109"/>
      <c r="K143" s="171"/>
      <c r="L143" s="171"/>
      <c r="M143" s="171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</row>
    <row r="144" ht="10.5" customHeight="1">
      <c r="A144" s="169"/>
      <c r="B144" s="170"/>
      <c r="C144" s="170"/>
      <c r="D144" s="170"/>
      <c r="E144" s="170"/>
      <c r="F144" s="170"/>
      <c r="G144" s="170"/>
      <c r="H144" s="109"/>
      <c r="I144" s="109"/>
      <c r="J144" s="109"/>
      <c r="K144" s="171"/>
      <c r="L144" s="171"/>
      <c r="M144" s="171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</row>
    <row r="145" ht="10.5" customHeight="1">
      <c r="A145" s="169"/>
      <c r="B145" s="170"/>
      <c r="C145" s="170"/>
      <c r="D145" s="170"/>
      <c r="E145" s="170"/>
      <c r="F145" s="170"/>
      <c r="G145" s="170"/>
      <c r="H145" s="109"/>
      <c r="I145" s="109"/>
      <c r="J145" s="109"/>
      <c r="K145" s="171"/>
      <c r="L145" s="171"/>
      <c r="M145" s="171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</row>
    <row r="146" ht="10.5" customHeight="1">
      <c r="A146" s="169"/>
      <c r="B146" s="170"/>
      <c r="C146" s="170"/>
      <c r="D146" s="170"/>
      <c r="E146" s="170"/>
      <c r="F146" s="170"/>
      <c r="G146" s="170"/>
      <c r="H146" s="109"/>
      <c r="I146" s="109"/>
      <c r="J146" s="109"/>
      <c r="K146" s="171"/>
      <c r="L146" s="171"/>
      <c r="M146" s="171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</row>
    <row r="147" ht="10.5" customHeight="1">
      <c r="A147" s="169"/>
      <c r="B147" s="170"/>
      <c r="C147" s="170"/>
      <c r="D147" s="170"/>
      <c r="E147" s="170"/>
      <c r="F147" s="170"/>
      <c r="G147" s="170"/>
      <c r="H147" s="109"/>
      <c r="I147" s="109"/>
      <c r="J147" s="109"/>
      <c r="K147" s="171"/>
      <c r="L147" s="171"/>
      <c r="M147" s="171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</row>
    <row r="148" ht="10.5" customHeight="1">
      <c r="A148" s="169"/>
      <c r="B148" s="170"/>
      <c r="C148" s="170"/>
      <c r="D148" s="170"/>
      <c r="E148" s="170"/>
      <c r="F148" s="170"/>
      <c r="G148" s="170"/>
      <c r="H148" s="109"/>
      <c r="I148" s="109"/>
      <c r="J148" s="109"/>
      <c r="K148" s="171"/>
      <c r="L148" s="171"/>
      <c r="M148" s="171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</row>
    <row r="149" ht="10.5" customHeight="1">
      <c r="A149" s="169"/>
      <c r="B149" s="170"/>
      <c r="C149" s="170"/>
      <c r="D149" s="170"/>
      <c r="E149" s="170"/>
      <c r="F149" s="170"/>
      <c r="G149" s="170"/>
      <c r="H149" s="109"/>
      <c r="I149" s="109"/>
      <c r="J149" s="109"/>
      <c r="K149" s="171"/>
      <c r="L149" s="171"/>
      <c r="M149" s="171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</row>
    <row r="150" ht="10.5" customHeight="1">
      <c r="A150" s="169"/>
      <c r="B150" s="170"/>
      <c r="C150" s="170"/>
      <c r="D150" s="170"/>
      <c r="E150" s="170"/>
      <c r="F150" s="170"/>
      <c r="G150" s="170"/>
      <c r="H150" s="109"/>
      <c r="I150" s="109"/>
      <c r="J150" s="109"/>
      <c r="K150" s="171"/>
      <c r="L150" s="171"/>
      <c r="M150" s="171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</row>
    <row r="151" ht="10.5" customHeight="1">
      <c r="A151" s="169"/>
      <c r="B151" s="170"/>
      <c r="C151" s="170"/>
      <c r="D151" s="170"/>
      <c r="E151" s="170"/>
      <c r="F151" s="170"/>
      <c r="G151" s="170"/>
      <c r="H151" s="109"/>
      <c r="I151" s="109"/>
      <c r="J151" s="109"/>
      <c r="K151" s="171"/>
      <c r="L151" s="171"/>
      <c r="M151" s="171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</row>
    <row r="152" ht="10.5" customHeight="1">
      <c r="A152" s="169"/>
      <c r="B152" s="170"/>
      <c r="C152" s="170"/>
      <c r="D152" s="170"/>
      <c r="E152" s="170"/>
      <c r="F152" s="170"/>
      <c r="G152" s="170"/>
      <c r="H152" s="109"/>
      <c r="I152" s="109"/>
      <c r="J152" s="109"/>
      <c r="K152" s="171"/>
      <c r="L152" s="171"/>
      <c r="M152" s="171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</row>
    <row r="153" ht="10.5" customHeight="1">
      <c r="A153" s="169"/>
      <c r="B153" s="170"/>
      <c r="C153" s="170"/>
      <c r="D153" s="170"/>
      <c r="E153" s="170"/>
      <c r="F153" s="170"/>
      <c r="G153" s="170"/>
      <c r="H153" s="109"/>
      <c r="I153" s="109"/>
      <c r="J153" s="109"/>
      <c r="K153" s="171"/>
      <c r="L153" s="171"/>
      <c r="M153" s="171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</row>
    <row r="154" ht="10.5" customHeight="1">
      <c r="A154" s="169"/>
      <c r="B154" s="170"/>
      <c r="C154" s="170"/>
      <c r="D154" s="170"/>
      <c r="E154" s="170"/>
      <c r="F154" s="170"/>
      <c r="G154" s="170"/>
      <c r="H154" s="109"/>
      <c r="I154" s="109"/>
      <c r="J154" s="109"/>
      <c r="K154" s="171"/>
      <c r="L154" s="171"/>
      <c r="M154" s="171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</row>
    <row r="155" ht="10.5" customHeight="1">
      <c r="A155" s="169"/>
      <c r="B155" s="170"/>
      <c r="C155" s="170"/>
      <c r="D155" s="170"/>
      <c r="E155" s="170"/>
      <c r="F155" s="170"/>
      <c r="G155" s="170"/>
      <c r="H155" s="109"/>
      <c r="I155" s="109"/>
      <c r="J155" s="109"/>
      <c r="K155" s="171"/>
      <c r="L155" s="171"/>
      <c r="M155" s="171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</row>
    <row r="156" ht="10.5" customHeight="1">
      <c r="A156" s="169"/>
      <c r="B156" s="170"/>
      <c r="C156" s="170"/>
      <c r="D156" s="170"/>
      <c r="E156" s="170"/>
      <c r="F156" s="170"/>
      <c r="G156" s="170"/>
      <c r="H156" s="109"/>
      <c r="I156" s="109"/>
      <c r="J156" s="109"/>
      <c r="K156" s="171"/>
      <c r="L156" s="171"/>
      <c r="M156" s="171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</row>
    <row r="157" ht="10.5" customHeight="1">
      <c r="A157" s="169"/>
      <c r="B157" s="170"/>
      <c r="C157" s="170"/>
      <c r="D157" s="170"/>
      <c r="E157" s="170"/>
      <c r="F157" s="170"/>
      <c r="G157" s="170"/>
      <c r="H157" s="109"/>
      <c r="I157" s="109"/>
      <c r="J157" s="109"/>
      <c r="K157" s="171"/>
      <c r="L157" s="171"/>
      <c r="M157" s="171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</row>
    <row r="158" ht="10.5" customHeight="1">
      <c r="A158" s="169"/>
      <c r="B158" s="170"/>
      <c r="C158" s="170"/>
      <c r="D158" s="170"/>
      <c r="E158" s="170"/>
      <c r="F158" s="170"/>
      <c r="G158" s="170"/>
      <c r="H158" s="109"/>
      <c r="I158" s="109"/>
      <c r="J158" s="109"/>
      <c r="K158" s="171"/>
      <c r="L158" s="171"/>
      <c r="M158" s="171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</row>
    <row r="159" ht="10.5" customHeight="1">
      <c r="A159" s="169"/>
      <c r="B159" s="170"/>
      <c r="C159" s="170"/>
      <c r="D159" s="170"/>
      <c r="E159" s="170"/>
      <c r="F159" s="170"/>
      <c r="G159" s="170"/>
      <c r="H159" s="109"/>
      <c r="I159" s="109"/>
      <c r="J159" s="109"/>
      <c r="K159" s="171"/>
      <c r="L159" s="171"/>
      <c r="M159" s="171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</row>
    <row r="160" ht="10.5" customHeight="1">
      <c r="A160" s="169"/>
      <c r="B160" s="170"/>
      <c r="C160" s="170"/>
      <c r="D160" s="170"/>
      <c r="E160" s="170"/>
      <c r="F160" s="170"/>
      <c r="G160" s="170"/>
      <c r="H160" s="109"/>
      <c r="I160" s="109"/>
      <c r="J160" s="109"/>
      <c r="K160" s="171"/>
      <c r="L160" s="171"/>
      <c r="M160" s="171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</row>
    <row r="161" ht="10.5" customHeight="1">
      <c r="A161" s="169"/>
      <c r="B161" s="170"/>
      <c r="C161" s="170"/>
      <c r="D161" s="170"/>
      <c r="E161" s="170"/>
      <c r="F161" s="170"/>
      <c r="G161" s="170"/>
      <c r="H161" s="109"/>
      <c r="I161" s="109"/>
      <c r="J161" s="109"/>
      <c r="K161" s="171"/>
      <c r="L161" s="171"/>
      <c r="M161" s="171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</row>
    <row r="162" ht="10.5" customHeight="1">
      <c r="A162" s="169"/>
      <c r="B162" s="170"/>
      <c r="C162" s="170"/>
      <c r="D162" s="170"/>
      <c r="E162" s="170"/>
      <c r="F162" s="170"/>
      <c r="G162" s="170"/>
      <c r="H162" s="109"/>
      <c r="I162" s="109"/>
      <c r="J162" s="109"/>
      <c r="K162" s="171"/>
      <c r="L162" s="171"/>
      <c r="M162" s="171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</row>
    <row r="163" ht="10.5" customHeight="1">
      <c r="A163" s="169"/>
      <c r="B163" s="170"/>
      <c r="C163" s="170"/>
      <c r="D163" s="170"/>
      <c r="E163" s="170"/>
      <c r="F163" s="170"/>
      <c r="G163" s="170"/>
      <c r="H163" s="109"/>
      <c r="I163" s="109"/>
      <c r="J163" s="109"/>
      <c r="K163" s="171"/>
      <c r="L163" s="171"/>
      <c r="M163" s="171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</row>
    <row r="164" ht="10.5" customHeight="1">
      <c r="A164" s="169"/>
      <c r="B164" s="170"/>
      <c r="C164" s="170"/>
      <c r="D164" s="170"/>
      <c r="E164" s="170"/>
      <c r="F164" s="170"/>
      <c r="G164" s="170"/>
      <c r="H164" s="109"/>
      <c r="I164" s="109"/>
      <c r="J164" s="109"/>
      <c r="K164" s="171"/>
      <c r="L164" s="171"/>
      <c r="M164" s="171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</row>
    <row r="165" ht="10.5" customHeight="1">
      <c r="A165" s="169"/>
      <c r="B165" s="170"/>
      <c r="C165" s="170"/>
      <c r="D165" s="170"/>
      <c r="E165" s="170"/>
      <c r="F165" s="170"/>
      <c r="G165" s="170"/>
      <c r="H165" s="109"/>
      <c r="I165" s="109"/>
      <c r="J165" s="109"/>
      <c r="K165" s="171"/>
      <c r="L165" s="171"/>
      <c r="M165" s="171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</row>
    <row r="166" ht="10.5" customHeight="1">
      <c r="A166" s="169"/>
      <c r="B166" s="170"/>
      <c r="C166" s="170"/>
      <c r="D166" s="170"/>
      <c r="E166" s="170"/>
      <c r="F166" s="170"/>
      <c r="G166" s="170"/>
      <c r="H166" s="109"/>
      <c r="I166" s="109"/>
      <c r="J166" s="109"/>
      <c r="K166" s="171"/>
      <c r="L166" s="171"/>
      <c r="M166" s="171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</row>
    <row r="167" ht="10.5" customHeight="1">
      <c r="A167" s="169"/>
      <c r="B167" s="170"/>
      <c r="C167" s="170"/>
      <c r="D167" s="170"/>
      <c r="E167" s="170"/>
      <c r="F167" s="170"/>
      <c r="G167" s="170"/>
      <c r="H167" s="109"/>
      <c r="I167" s="109"/>
      <c r="J167" s="109"/>
      <c r="K167" s="171"/>
      <c r="L167" s="171"/>
      <c r="M167" s="171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</row>
    <row r="168" ht="10.5" customHeight="1">
      <c r="A168" s="169"/>
      <c r="B168" s="170"/>
      <c r="C168" s="170"/>
      <c r="D168" s="170"/>
      <c r="E168" s="170"/>
      <c r="F168" s="170"/>
      <c r="G168" s="170"/>
      <c r="H168" s="109"/>
      <c r="I168" s="109"/>
      <c r="J168" s="109"/>
      <c r="K168" s="171"/>
      <c r="L168" s="171"/>
      <c r="M168" s="171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</row>
    <row r="169" ht="10.5" customHeight="1">
      <c r="A169" s="169"/>
      <c r="B169" s="170"/>
      <c r="C169" s="170"/>
      <c r="D169" s="170"/>
      <c r="E169" s="170"/>
      <c r="F169" s="170"/>
      <c r="G169" s="170"/>
      <c r="H169" s="109"/>
      <c r="I169" s="109"/>
      <c r="J169" s="109"/>
      <c r="K169" s="171"/>
      <c r="L169" s="171"/>
      <c r="M169" s="171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</row>
    <row r="170" ht="10.5" customHeight="1">
      <c r="A170" s="169"/>
      <c r="B170" s="170"/>
      <c r="C170" s="170"/>
      <c r="D170" s="170"/>
      <c r="E170" s="170"/>
      <c r="F170" s="170"/>
      <c r="G170" s="170"/>
      <c r="H170" s="109"/>
      <c r="I170" s="109"/>
      <c r="J170" s="109"/>
      <c r="K170" s="171"/>
      <c r="L170" s="171"/>
      <c r="M170" s="171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</row>
    <row r="171" ht="10.5" customHeight="1">
      <c r="A171" s="169"/>
      <c r="B171" s="170"/>
      <c r="C171" s="170"/>
      <c r="D171" s="170"/>
      <c r="E171" s="170"/>
      <c r="F171" s="170"/>
      <c r="G171" s="170"/>
      <c r="H171" s="109"/>
      <c r="I171" s="109"/>
      <c r="J171" s="109"/>
      <c r="K171" s="171"/>
      <c r="L171" s="171"/>
      <c r="M171" s="171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</row>
    <row r="172" ht="10.5" customHeight="1">
      <c r="A172" s="169"/>
      <c r="B172" s="170"/>
      <c r="C172" s="170"/>
      <c r="D172" s="170"/>
      <c r="E172" s="170"/>
      <c r="F172" s="170"/>
      <c r="G172" s="170"/>
      <c r="H172" s="109"/>
      <c r="I172" s="109"/>
      <c r="J172" s="109"/>
      <c r="K172" s="171"/>
      <c r="L172" s="171"/>
      <c r="M172" s="171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</row>
    <row r="173" ht="10.5" customHeight="1">
      <c r="A173" s="169"/>
      <c r="B173" s="170"/>
      <c r="C173" s="170"/>
      <c r="D173" s="170"/>
      <c r="E173" s="170"/>
      <c r="F173" s="170"/>
      <c r="G173" s="170"/>
      <c r="H173" s="109"/>
      <c r="I173" s="109"/>
      <c r="J173" s="109"/>
      <c r="K173" s="171"/>
      <c r="L173" s="171"/>
      <c r="M173" s="171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</row>
    <row r="174" ht="10.5" customHeight="1">
      <c r="A174" s="169"/>
      <c r="B174" s="170"/>
      <c r="C174" s="170"/>
      <c r="D174" s="170"/>
      <c r="E174" s="170"/>
      <c r="F174" s="170"/>
      <c r="G174" s="170"/>
      <c r="H174" s="109"/>
      <c r="I174" s="109"/>
      <c r="J174" s="109"/>
      <c r="K174" s="171"/>
      <c r="L174" s="171"/>
      <c r="M174" s="171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</row>
    <row r="175" ht="10.5" customHeight="1">
      <c r="A175" s="169"/>
      <c r="B175" s="170"/>
      <c r="C175" s="170"/>
      <c r="D175" s="170"/>
      <c r="E175" s="170"/>
      <c r="F175" s="170"/>
      <c r="G175" s="170"/>
      <c r="H175" s="109"/>
      <c r="I175" s="109"/>
      <c r="J175" s="109"/>
      <c r="K175" s="171"/>
      <c r="L175" s="171"/>
      <c r="M175" s="171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</row>
    <row r="176" ht="10.5" customHeight="1">
      <c r="A176" s="169"/>
      <c r="B176" s="170"/>
      <c r="C176" s="170"/>
      <c r="D176" s="170"/>
      <c r="E176" s="170"/>
      <c r="F176" s="170"/>
      <c r="G176" s="170"/>
      <c r="H176" s="109"/>
      <c r="I176" s="109"/>
      <c r="J176" s="109"/>
      <c r="K176" s="171"/>
      <c r="L176" s="171"/>
      <c r="M176" s="171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</row>
    <row r="177" ht="10.5" customHeight="1">
      <c r="A177" s="169"/>
      <c r="B177" s="170"/>
      <c r="C177" s="170"/>
      <c r="D177" s="170"/>
      <c r="E177" s="170"/>
      <c r="F177" s="170"/>
      <c r="G177" s="170"/>
      <c r="H177" s="109"/>
      <c r="I177" s="109"/>
      <c r="J177" s="109"/>
      <c r="K177" s="171"/>
      <c r="L177" s="171"/>
      <c r="M177" s="171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</row>
    <row r="178" ht="10.5" customHeight="1">
      <c r="A178" s="169"/>
      <c r="B178" s="170"/>
      <c r="C178" s="170"/>
      <c r="D178" s="170"/>
      <c r="E178" s="170"/>
      <c r="F178" s="170"/>
      <c r="G178" s="170"/>
      <c r="H178" s="109"/>
      <c r="I178" s="109"/>
      <c r="J178" s="109"/>
      <c r="K178" s="171"/>
      <c r="L178" s="171"/>
      <c r="M178" s="171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</row>
    <row r="179" ht="10.5" customHeight="1">
      <c r="A179" s="169"/>
      <c r="B179" s="170"/>
      <c r="C179" s="170"/>
      <c r="D179" s="170"/>
      <c r="E179" s="170"/>
      <c r="F179" s="170"/>
      <c r="G179" s="170"/>
      <c r="H179" s="109"/>
      <c r="I179" s="109"/>
      <c r="J179" s="109"/>
      <c r="K179" s="171"/>
      <c r="L179" s="171"/>
      <c r="M179" s="171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</row>
    <row r="180" ht="10.5" customHeight="1">
      <c r="A180" s="169"/>
      <c r="B180" s="170"/>
      <c r="C180" s="170"/>
      <c r="D180" s="170"/>
      <c r="E180" s="170"/>
      <c r="F180" s="170"/>
      <c r="G180" s="170"/>
      <c r="H180" s="109"/>
      <c r="I180" s="109"/>
      <c r="J180" s="109"/>
      <c r="K180" s="171"/>
      <c r="L180" s="171"/>
      <c r="M180" s="171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</row>
    <row r="181" ht="10.5" customHeight="1">
      <c r="A181" s="169"/>
      <c r="B181" s="170"/>
      <c r="C181" s="170"/>
      <c r="D181" s="170"/>
      <c r="E181" s="170"/>
      <c r="F181" s="170"/>
      <c r="G181" s="170"/>
      <c r="H181" s="109"/>
      <c r="I181" s="109"/>
      <c r="J181" s="109"/>
      <c r="K181" s="171"/>
      <c r="L181" s="171"/>
      <c r="M181" s="171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</row>
    <row r="182" ht="10.5" customHeight="1">
      <c r="A182" s="169"/>
      <c r="B182" s="170"/>
      <c r="C182" s="170"/>
      <c r="D182" s="170"/>
      <c r="E182" s="170"/>
      <c r="F182" s="170"/>
      <c r="G182" s="170"/>
      <c r="H182" s="109"/>
      <c r="I182" s="109"/>
      <c r="J182" s="109"/>
      <c r="K182" s="171"/>
      <c r="L182" s="171"/>
      <c r="M182" s="171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</row>
    <row r="183" ht="10.5" customHeight="1">
      <c r="A183" s="169"/>
      <c r="B183" s="170"/>
      <c r="C183" s="170"/>
      <c r="D183" s="170"/>
      <c r="E183" s="170"/>
      <c r="F183" s="170"/>
      <c r="G183" s="170"/>
      <c r="H183" s="109"/>
      <c r="I183" s="109"/>
      <c r="J183" s="109"/>
      <c r="K183" s="171"/>
      <c r="L183" s="171"/>
      <c r="M183" s="171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</row>
    <row r="184" ht="10.5" customHeight="1">
      <c r="A184" s="169"/>
      <c r="B184" s="170"/>
      <c r="C184" s="170"/>
      <c r="D184" s="170"/>
      <c r="E184" s="170"/>
      <c r="F184" s="170"/>
      <c r="G184" s="170"/>
      <c r="H184" s="109"/>
      <c r="I184" s="109"/>
      <c r="J184" s="109"/>
      <c r="K184" s="171"/>
      <c r="L184" s="171"/>
      <c r="M184" s="171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</row>
    <row r="185" ht="10.5" customHeight="1">
      <c r="A185" s="169"/>
      <c r="B185" s="170"/>
      <c r="C185" s="170"/>
      <c r="D185" s="170"/>
      <c r="E185" s="170"/>
      <c r="F185" s="170"/>
      <c r="G185" s="170"/>
      <c r="H185" s="109"/>
      <c r="I185" s="109"/>
      <c r="J185" s="109"/>
      <c r="K185" s="171"/>
      <c r="L185" s="171"/>
      <c r="M185" s="171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</row>
    <row r="186" ht="10.5" customHeight="1">
      <c r="A186" s="169"/>
      <c r="B186" s="170"/>
      <c r="C186" s="170"/>
      <c r="D186" s="170"/>
      <c r="E186" s="170"/>
      <c r="F186" s="170"/>
      <c r="G186" s="170"/>
      <c r="H186" s="109"/>
      <c r="I186" s="109"/>
      <c r="J186" s="109"/>
      <c r="K186" s="171"/>
      <c r="L186" s="171"/>
      <c r="M186" s="171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</row>
    <row r="187" ht="10.5" customHeight="1">
      <c r="A187" s="169"/>
      <c r="B187" s="170"/>
      <c r="C187" s="170"/>
      <c r="D187" s="170"/>
      <c r="E187" s="170"/>
      <c r="F187" s="170"/>
      <c r="G187" s="170"/>
      <c r="H187" s="109"/>
      <c r="I187" s="109"/>
      <c r="J187" s="109"/>
      <c r="K187" s="171"/>
      <c r="L187" s="171"/>
      <c r="M187" s="171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</row>
    <row r="188" ht="10.5" customHeight="1">
      <c r="A188" s="169"/>
      <c r="B188" s="170"/>
      <c r="C188" s="170"/>
      <c r="D188" s="170"/>
      <c r="E188" s="170"/>
      <c r="F188" s="170"/>
      <c r="G188" s="170"/>
      <c r="H188" s="109"/>
      <c r="I188" s="109"/>
      <c r="J188" s="109"/>
      <c r="K188" s="171"/>
      <c r="L188" s="171"/>
      <c r="M188" s="171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</row>
    <row r="189" ht="10.5" customHeight="1">
      <c r="A189" s="169"/>
      <c r="B189" s="170"/>
      <c r="C189" s="170"/>
      <c r="D189" s="170"/>
      <c r="E189" s="170"/>
      <c r="F189" s="170"/>
      <c r="G189" s="170"/>
      <c r="H189" s="109"/>
      <c r="I189" s="109"/>
      <c r="J189" s="109"/>
      <c r="K189" s="171"/>
      <c r="L189" s="171"/>
      <c r="M189" s="171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</row>
    <row r="190" ht="10.5" customHeight="1">
      <c r="A190" s="169"/>
      <c r="B190" s="170"/>
      <c r="C190" s="170"/>
      <c r="D190" s="170"/>
      <c r="E190" s="170"/>
      <c r="F190" s="170"/>
      <c r="G190" s="170"/>
      <c r="H190" s="109"/>
      <c r="I190" s="109"/>
      <c r="J190" s="109"/>
      <c r="K190" s="171"/>
      <c r="L190" s="171"/>
      <c r="M190" s="171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</row>
    <row r="191" ht="10.5" customHeight="1">
      <c r="A191" s="169"/>
      <c r="B191" s="170"/>
      <c r="C191" s="170"/>
      <c r="D191" s="170"/>
      <c r="E191" s="170"/>
      <c r="F191" s="170"/>
      <c r="G191" s="170"/>
      <c r="H191" s="109"/>
      <c r="I191" s="109"/>
      <c r="J191" s="109"/>
      <c r="K191" s="171"/>
      <c r="L191" s="171"/>
      <c r="M191" s="171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</row>
    <row r="192" ht="10.5" customHeight="1">
      <c r="A192" s="169"/>
      <c r="B192" s="170"/>
      <c r="C192" s="170"/>
      <c r="D192" s="170"/>
      <c r="E192" s="170"/>
      <c r="F192" s="170"/>
      <c r="G192" s="170"/>
      <c r="H192" s="109"/>
      <c r="I192" s="109"/>
      <c r="J192" s="109"/>
      <c r="K192" s="171"/>
      <c r="L192" s="171"/>
      <c r="M192" s="171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</row>
    <row r="193" ht="10.5" customHeight="1">
      <c r="A193" s="169"/>
      <c r="B193" s="170"/>
      <c r="C193" s="170"/>
      <c r="D193" s="170"/>
      <c r="E193" s="170"/>
      <c r="F193" s="170"/>
      <c r="G193" s="170"/>
      <c r="H193" s="109"/>
      <c r="I193" s="109"/>
      <c r="J193" s="109"/>
      <c r="K193" s="171"/>
      <c r="L193" s="171"/>
      <c r="M193" s="171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</row>
    <row r="194" ht="10.5" customHeight="1">
      <c r="A194" s="169"/>
      <c r="B194" s="170"/>
      <c r="C194" s="170"/>
      <c r="D194" s="170"/>
      <c r="E194" s="170"/>
      <c r="F194" s="170"/>
      <c r="G194" s="170"/>
      <c r="H194" s="109"/>
      <c r="I194" s="109"/>
      <c r="J194" s="109"/>
      <c r="K194" s="171"/>
      <c r="L194" s="171"/>
      <c r="M194" s="171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</row>
    <row r="195" ht="10.5" customHeight="1">
      <c r="A195" s="169"/>
      <c r="B195" s="170"/>
      <c r="C195" s="170"/>
      <c r="D195" s="170"/>
      <c r="E195" s="170"/>
      <c r="F195" s="170"/>
      <c r="G195" s="170"/>
      <c r="H195" s="109"/>
      <c r="I195" s="109"/>
      <c r="J195" s="109"/>
      <c r="K195" s="171"/>
      <c r="L195" s="171"/>
      <c r="M195" s="171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</row>
    <row r="196" ht="10.5" customHeight="1">
      <c r="A196" s="169"/>
      <c r="B196" s="170"/>
      <c r="C196" s="170"/>
      <c r="D196" s="170"/>
      <c r="E196" s="170"/>
      <c r="F196" s="170"/>
      <c r="G196" s="170"/>
      <c r="H196" s="109"/>
      <c r="I196" s="109"/>
      <c r="J196" s="109"/>
      <c r="K196" s="171"/>
      <c r="L196" s="171"/>
      <c r="M196" s="171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</row>
    <row r="197" ht="10.5" customHeight="1">
      <c r="A197" s="169"/>
      <c r="B197" s="170"/>
      <c r="C197" s="170"/>
      <c r="D197" s="170"/>
      <c r="E197" s="170"/>
      <c r="F197" s="170"/>
      <c r="G197" s="170"/>
      <c r="H197" s="109"/>
      <c r="I197" s="109"/>
      <c r="J197" s="109"/>
      <c r="K197" s="171"/>
      <c r="L197" s="171"/>
      <c r="M197" s="171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</row>
    <row r="198" ht="10.5" customHeight="1">
      <c r="A198" s="169"/>
      <c r="B198" s="170"/>
      <c r="C198" s="170"/>
      <c r="D198" s="170"/>
      <c r="E198" s="170"/>
      <c r="F198" s="170"/>
      <c r="G198" s="170"/>
      <c r="H198" s="109"/>
      <c r="I198" s="109"/>
      <c r="J198" s="109"/>
      <c r="K198" s="171"/>
      <c r="L198" s="171"/>
      <c r="M198" s="171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</row>
    <row r="199" ht="10.5" customHeight="1">
      <c r="A199" s="169"/>
      <c r="B199" s="170"/>
      <c r="C199" s="170"/>
      <c r="D199" s="170"/>
      <c r="E199" s="170"/>
      <c r="F199" s="170"/>
      <c r="G199" s="170"/>
      <c r="H199" s="109"/>
      <c r="I199" s="109"/>
      <c r="J199" s="109"/>
      <c r="K199" s="171"/>
      <c r="L199" s="171"/>
      <c r="M199" s="171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</row>
    <row r="200" ht="10.5" customHeight="1">
      <c r="A200" s="169"/>
      <c r="B200" s="170"/>
      <c r="C200" s="170"/>
      <c r="D200" s="170"/>
      <c r="E200" s="170"/>
      <c r="F200" s="170"/>
      <c r="G200" s="170"/>
      <c r="H200" s="109"/>
      <c r="I200" s="109"/>
      <c r="J200" s="109"/>
      <c r="K200" s="171"/>
      <c r="L200" s="171"/>
      <c r="M200" s="171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</row>
    <row r="201" ht="10.5" customHeight="1">
      <c r="A201" s="169"/>
      <c r="B201" s="170"/>
      <c r="C201" s="170"/>
      <c r="D201" s="170"/>
      <c r="E201" s="170"/>
      <c r="F201" s="170"/>
      <c r="G201" s="170"/>
      <c r="H201" s="109"/>
      <c r="I201" s="109"/>
      <c r="J201" s="109"/>
      <c r="K201" s="171"/>
      <c r="L201" s="171"/>
      <c r="M201" s="171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</row>
    <row r="202" ht="10.5" customHeight="1">
      <c r="A202" s="169"/>
      <c r="B202" s="170"/>
      <c r="C202" s="170"/>
      <c r="D202" s="170"/>
      <c r="E202" s="170"/>
      <c r="F202" s="170"/>
      <c r="G202" s="170"/>
      <c r="H202" s="109"/>
      <c r="I202" s="109"/>
      <c r="J202" s="109"/>
      <c r="K202" s="171"/>
      <c r="L202" s="171"/>
      <c r="M202" s="171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</row>
    <row r="203" ht="10.5" customHeight="1">
      <c r="A203" s="169"/>
      <c r="B203" s="170"/>
      <c r="C203" s="170"/>
      <c r="D203" s="170"/>
      <c r="E203" s="170"/>
      <c r="F203" s="170"/>
      <c r="G203" s="170"/>
      <c r="H203" s="109"/>
      <c r="I203" s="109"/>
      <c r="J203" s="109"/>
      <c r="K203" s="171"/>
      <c r="L203" s="171"/>
      <c r="M203" s="171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</row>
    <row r="204" ht="10.5" customHeight="1">
      <c r="A204" s="169"/>
      <c r="B204" s="170"/>
      <c r="C204" s="170"/>
      <c r="D204" s="170"/>
      <c r="E204" s="170"/>
      <c r="F204" s="170"/>
      <c r="G204" s="170"/>
      <c r="H204" s="109"/>
      <c r="I204" s="109"/>
      <c r="J204" s="109"/>
      <c r="K204" s="171"/>
      <c r="L204" s="171"/>
      <c r="M204" s="171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</row>
    <row r="205" ht="10.5" customHeight="1">
      <c r="A205" s="169"/>
      <c r="B205" s="170"/>
      <c r="C205" s="170"/>
      <c r="D205" s="170"/>
      <c r="E205" s="170"/>
      <c r="F205" s="170"/>
      <c r="G205" s="170"/>
      <c r="H205" s="109"/>
      <c r="I205" s="109"/>
      <c r="J205" s="109"/>
      <c r="K205" s="171"/>
      <c r="L205" s="171"/>
      <c r="M205" s="171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</row>
    <row r="206" ht="10.5" customHeight="1">
      <c r="A206" s="169"/>
      <c r="B206" s="170"/>
      <c r="C206" s="170"/>
      <c r="D206" s="170"/>
      <c r="E206" s="170"/>
      <c r="F206" s="170"/>
      <c r="G206" s="170"/>
      <c r="H206" s="109"/>
      <c r="I206" s="109"/>
      <c r="J206" s="109"/>
      <c r="K206" s="171"/>
      <c r="L206" s="171"/>
      <c r="M206" s="171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</row>
    <row r="207" ht="10.5" customHeight="1">
      <c r="A207" s="169"/>
      <c r="B207" s="170"/>
      <c r="C207" s="170"/>
      <c r="D207" s="170"/>
      <c r="E207" s="170"/>
      <c r="F207" s="170"/>
      <c r="G207" s="170"/>
      <c r="H207" s="109"/>
      <c r="I207" s="109"/>
      <c r="J207" s="109"/>
      <c r="K207" s="171"/>
      <c r="L207" s="171"/>
      <c r="M207" s="171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</row>
    <row r="208" ht="10.5" customHeight="1">
      <c r="A208" s="169"/>
      <c r="B208" s="170"/>
      <c r="C208" s="170"/>
      <c r="D208" s="170"/>
      <c r="E208" s="170"/>
      <c r="F208" s="170"/>
      <c r="G208" s="170"/>
      <c r="H208" s="109"/>
      <c r="I208" s="109"/>
      <c r="J208" s="109"/>
      <c r="K208" s="171"/>
      <c r="L208" s="171"/>
      <c r="M208" s="171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</row>
    <row r="209" ht="10.5" customHeight="1">
      <c r="A209" s="169"/>
      <c r="B209" s="170"/>
      <c r="C209" s="170"/>
      <c r="D209" s="170"/>
      <c r="E209" s="170"/>
      <c r="F209" s="170"/>
      <c r="G209" s="170"/>
      <c r="H209" s="109"/>
      <c r="I209" s="109"/>
      <c r="J209" s="109"/>
      <c r="K209" s="171"/>
      <c r="L209" s="171"/>
      <c r="M209" s="171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</row>
    <row r="210" ht="10.5" customHeight="1">
      <c r="A210" s="169"/>
      <c r="B210" s="170"/>
      <c r="C210" s="170"/>
      <c r="D210" s="170"/>
      <c r="E210" s="170"/>
      <c r="F210" s="170"/>
      <c r="G210" s="170"/>
      <c r="H210" s="109"/>
      <c r="I210" s="109"/>
      <c r="J210" s="109"/>
      <c r="K210" s="171"/>
      <c r="L210" s="171"/>
      <c r="M210" s="171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</row>
    <row r="211" ht="10.5" customHeight="1">
      <c r="A211" s="169"/>
      <c r="B211" s="170"/>
      <c r="C211" s="170"/>
      <c r="D211" s="170"/>
      <c r="E211" s="170"/>
      <c r="F211" s="170"/>
      <c r="G211" s="170"/>
      <c r="H211" s="109"/>
      <c r="I211" s="109"/>
      <c r="J211" s="109"/>
      <c r="K211" s="171"/>
      <c r="L211" s="171"/>
      <c r="M211" s="171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</row>
    <row r="212" ht="10.5" customHeight="1">
      <c r="A212" s="169"/>
      <c r="B212" s="170"/>
      <c r="C212" s="170"/>
      <c r="D212" s="170"/>
      <c r="E212" s="170"/>
      <c r="F212" s="170"/>
      <c r="G212" s="170"/>
      <c r="H212" s="109"/>
      <c r="I212" s="109"/>
      <c r="J212" s="109"/>
      <c r="K212" s="171"/>
      <c r="L212" s="171"/>
      <c r="M212" s="171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</row>
    <row r="213" ht="10.5" customHeight="1">
      <c r="A213" s="169"/>
      <c r="B213" s="170"/>
      <c r="C213" s="170"/>
      <c r="D213" s="170"/>
      <c r="E213" s="170"/>
      <c r="F213" s="170"/>
      <c r="G213" s="170"/>
      <c r="H213" s="109"/>
      <c r="I213" s="109"/>
      <c r="J213" s="109"/>
      <c r="K213" s="171"/>
      <c r="L213" s="171"/>
      <c r="M213" s="171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</row>
    <row r="214" ht="10.5" customHeight="1">
      <c r="A214" s="169"/>
      <c r="B214" s="170"/>
      <c r="C214" s="170"/>
      <c r="D214" s="170"/>
      <c r="E214" s="170"/>
      <c r="F214" s="170"/>
      <c r="G214" s="170"/>
      <c r="H214" s="109"/>
      <c r="I214" s="109"/>
      <c r="J214" s="109"/>
      <c r="K214" s="171"/>
      <c r="L214" s="171"/>
      <c r="M214" s="171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</row>
    <row r="215" ht="10.5" customHeight="1">
      <c r="A215" s="169"/>
      <c r="B215" s="170"/>
      <c r="C215" s="170"/>
      <c r="D215" s="170"/>
      <c r="E215" s="170"/>
      <c r="F215" s="170"/>
      <c r="G215" s="170"/>
      <c r="H215" s="109"/>
      <c r="I215" s="109"/>
      <c r="J215" s="109"/>
      <c r="K215" s="171"/>
      <c r="L215" s="171"/>
      <c r="M215" s="171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</row>
    <row r="216" ht="10.5" customHeight="1">
      <c r="A216" s="169"/>
      <c r="B216" s="170"/>
      <c r="C216" s="170"/>
      <c r="D216" s="170"/>
      <c r="E216" s="170"/>
      <c r="F216" s="170"/>
      <c r="G216" s="170"/>
      <c r="H216" s="109"/>
      <c r="I216" s="109"/>
      <c r="J216" s="109"/>
      <c r="K216" s="171"/>
      <c r="L216" s="171"/>
      <c r="M216" s="171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</row>
    <row r="217" ht="10.5" customHeight="1">
      <c r="A217" s="169"/>
      <c r="B217" s="170"/>
      <c r="C217" s="170"/>
      <c r="D217" s="170"/>
      <c r="E217" s="170"/>
      <c r="F217" s="170"/>
      <c r="G217" s="170"/>
      <c r="H217" s="109"/>
      <c r="I217" s="109"/>
      <c r="J217" s="109"/>
      <c r="K217" s="171"/>
      <c r="L217" s="171"/>
      <c r="M217" s="171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</row>
    <row r="218" ht="10.5" customHeight="1">
      <c r="A218" s="169"/>
      <c r="B218" s="170"/>
      <c r="C218" s="170"/>
      <c r="D218" s="170"/>
      <c r="E218" s="170"/>
      <c r="F218" s="170"/>
      <c r="G218" s="170"/>
      <c r="H218" s="109"/>
      <c r="I218" s="109"/>
      <c r="J218" s="109"/>
      <c r="K218" s="171"/>
      <c r="L218" s="171"/>
      <c r="M218" s="171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</row>
    <row r="219" ht="10.5" customHeight="1">
      <c r="A219" s="169"/>
      <c r="B219" s="170"/>
      <c r="C219" s="170"/>
      <c r="D219" s="170"/>
      <c r="E219" s="170"/>
      <c r="F219" s="170"/>
      <c r="G219" s="170"/>
      <c r="H219" s="109"/>
      <c r="I219" s="109"/>
      <c r="J219" s="109"/>
      <c r="K219" s="171"/>
      <c r="L219" s="171"/>
      <c r="M219" s="171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</row>
    <row r="220" ht="10.5" customHeight="1">
      <c r="A220" s="169"/>
      <c r="B220" s="170"/>
      <c r="C220" s="170"/>
      <c r="D220" s="170"/>
      <c r="E220" s="170"/>
      <c r="F220" s="170"/>
      <c r="G220" s="170"/>
      <c r="H220" s="109"/>
      <c r="I220" s="109"/>
      <c r="J220" s="109"/>
      <c r="K220" s="171"/>
      <c r="L220" s="171"/>
      <c r="M220" s="171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</row>
    <row r="221" ht="10.5" customHeight="1">
      <c r="A221" s="169"/>
      <c r="B221" s="170"/>
      <c r="C221" s="170"/>
      <c r="D221" s="170"/>
      <c r="E221" s="170"/>
      <c r="F221" s="170"/>
      <c r="G221" s="170"/>
      <c r="H221" s="109"/>
      <c r="I221" s="109"/>
      <c r="J221" s="109"/>
      <c r="K221" s="171"/>
      <c r="L221" s="171"/>
      <c r="M221" s="171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</row>
    <row r="222" ht="10.5" customHeight="1">
      <c r="A222" s="169"/>
      <c r="B222" s="170"/>
      <c r="C222" s="170"/>
      <c r="D222" s="170"/>
      <c r="E222" s="170"/>
      <c r="F222" s="170"/>
      <c r="G222" s="170"/>
      <c r="H222" s="109"/>
      <c r="I222" s="109"/>
      <c r="J222" s="109"/>
      <c r="K222" s="171"/>
      <c r="L222" s="171"/>
      <c r="M222" s="171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</row>
    <row r="223" ht="10.5" customHeight="1">
      <c r="A223" s="169"/>
      <c r="B223" s="170"/>
      <c r="C223" s="170"/>
      <c r="D223" s="170"/>
      <c r="E223" s="170"/>
      <c r="F223" s="170"/>
      <c r="G223" s="170"/>
      <c r="H223" s="109"/>
      <c r="I223" s="109"/>
      <c r="J223" s="109"/>
      <c r="K223" s="171"/>
      <c r="L223" s="171"/>
      <c r="M223" s="171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</row>
    <row r="224" ht="10.5" customHeight="1">
      <c r="A224" s="169"/>
      <c r="B224" s="170"/>
      <c r="C224" s="170"/>
      <c r="D224" s="170"/>
      <c r="E224" s="170"/>
      <c r="F224" s="170"/>
      <c r="G224" s="170"/>
      <c r="H224" s="109"/>
      <c r="I224" s="109"/>
      <c r="J224" s="109"/>
      <c r="K224" s="171"/>
      <c r="L224" s="171"/>
      <c r="M224" s="171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</row>
    <row r="225" ht="10.5" customHeight="1">
      <c r="A225" s="169"/>
      <c r="B225" s="170"/>
      <c r="C225" s="170"/>
      <c r="D225" s="170"/>
      <c r="E225" s="170"/>
      <c r="F225" s="170"/>
      <c r="G225" s="170"/>
      <c r="H225" s="109"/>
      <c r="I225" s="109"/>
      <c r="J225" s="109"/>
      <c r="K225" s="171"/>
      <c r="L225" s="171"/>
      <c r="M225" s="171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</row>
    <row r="226" ht="10.5" customHeight="1">
      <c r="A226" s="169"/>
      <c r="B226" s="170"/>
      <c r="C226" s="170"/>
      <c r="D226" s="170"/>
      <c r="E226" s="170"/>
      <c r="F226" s="170"/>
      <c r="G226" s="170"/>
      <c r="H226" s="109"/>
      <c r="I226" s="109"/>
      <c r="J226" s="109"/>
      <c r="K226" s="171"/>
      <c r="L226" s="171"/>
      <c r="M226" s="171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</row>
    <row r="227" ht="10.5" customHeight="1">
      <c r="A227" s="169"/>
      <c r="B227" s="170"/>
      <c r="C227" s="170"/>
      <c r="D227" s="170"/>
      <c r="E227" s="170"/>
      <c r="F227" s="170"/>
      <c r="G227" s="170"/>
      <c r="H227" s="109"/>
      <c r="I227" s="109"/>
      <c r="J227" s="109"/>
      <c r="K227" s="171"/>
      <c r="L227" s="171"/>
      <c r="M227" s="171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</row>
    <row r="228" ht="10.5" customHeight="1">
      <c r="A228" s="169"/>
      <c r="B228" s="170"/>
      <c r="C228" s="170"/>
      <c r="D228" s="170"/>
      <c r="E228" s="170"/>
      <c r="F228" s="170"/>
      <c r="G228" s="170"/>
      <c r="H228" s="109"/>
      <c r="I228" s="109"/>
      <c r="J228" s="109"/>
      <c r="K228" s="171"/>
      <c r="L228" s="171"/>
      <c r="M228" s="171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</row>
    <row r="229" ht="10.5" customHeight="1">
      <c r="A229" s="169"/>
      <c r="B229" s="170"/>
      <c r="C229" s="170"/>
      <c r="D229" s="170"/>
      <c r="E229" s="170"/>
      <c r="F229" s="170"/>
      <c r="G229" s="170"/>
      <c r="H229" s="109"/>
      <c r="I229" s="109"/>
      <c r="J229" s="109"/>
      <c r="K229" s="171"/>
      <c r="L229" s="171"/>
      <c r="M229" s="171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</row>
    <row r="230" ht="10.5" customHeight="1">
      <c r="A230" s="169"/>
      <c r="B230" s="170"/>
      <c r="C230" s="170"/>
      <c r="D230" s="170"/>
      <c r="E230" s="170"/>
      <c r="F230" s="170"/>
      <c r="G230" s="170"/>
      <c r="H230" s="109"/>
      <c r="I230" s="109"/>
      <c r="J230" s="109"/>
      <c r="K230" s="171"/>
      <c r="L230" s="171"/>
      <c r="M230" s="171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</row>
    <row r="231" ht="10.5" customHeight="1">
      <c r="A231" s="169"/>
      <c r="B231" s="170"/>
      <c r="C231" s="170"/>
      <c r="D231" s="170"/>
      <c r="E231" s="170"/>
      <c r="F231" s="170"/>
      <c r="G231" s="170"/>
      <c r="H231" s="109"/>
      <c r="I231" s="109"/>
      <c r="J231" s="109"/>
      <c r="K231" s="171"/>
      <c r="L231" s="171"/>
      <c r="M231" s="171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</row>
    <row r="232" ht="10.5" customHeight="1">
      <c r="A232" s="169"/>
      <c r="B232" s="170"/>
      <c r="C232" s="170"/>
      <c r="D232" s="170"/>
      <c r="E232" s="170"/>
      <c r="F232" s="170"/>
      <c r="G232" s="170"/>
      <c r="H232" s="109"/>
      <c r="I232" s="109"/>
      <c r="J232" s="109"/>
      <c r="K232" s="171"/>
      <c r="L232" s="171"/>
      <c r="M232" s="171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</row>
    <row r="233" ht="10.5" customHeight="1">
      <c r="A233" s="169"/>
      <c r="B233" s="170"/>
      <c r="C233" s="170"/>
      <c r="D233" s="170"/>
      <c r="E233" s="170"/>
      <c r="F233" s="170"/>
      <c r="G233" s="170"/>
      <c r="H233" s="109"/>
      <c r="I233" s="109"/>
      <c r="J233" s="109"/>
      <c r="K233" s="171"/>
      <c r="L233" s="171"/>
      <c r="M233" s="171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</row>
    <row r="234" ht="10.5" customHeight="1">
      <c r="A234" s="169"/>
      <c r="B234" s="170"/>
      <c r="C234" s="170"/>
      <c r="D234" s="170"/>
      <c r="E234" s="170"/>
      <c r="F234" s="170"/>
      <c r="G234" s="170"/>
      <c r="H234" s="109"/>
      <c r="I234" s="109"/>
      <c r="J234" s="109"/>
      <c r="K234" s="171"/>
      <c r="L234" s="171"/>
      <c r="M234" s="171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</row>
    <row r="235" ht="10.5" customHeight="1">
      <c r="A235" s="169"/>
      <c r="B235" s="170"/>
      <c r="C235" s="170"/>
      <c r="D235" s="170"/>
      <c r="E235" s="170"/>
      <c r="F235" s="170"/>
      <c r="G235" s="170"/>
      <c r="H235" s="109"/>
      <c r="I235" s="109"/>
      <c r="J235" s="109"/>
      <c r="K235" s="171"/>
      <c r="L235" s="171"/>
      <c r="M235" s="171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</row>
    <row r="236" ht="10.5" customHeight="1">
      <c r="A236" s="169"/>
      <c r="B236" s="170"/>
      <c r="C236" s="170"/>
      <c r="D236" s="170"/>
      <c r="E236" s="170"/>
      <c r="F236" s="170"/>
      <c r="G236" s="170"/>
      <c r="H236" s="109"/>
      <c r="I236" s="109"/>
      <c r="J236" s="109"/>
      <c r="K236" s="171"/>
      <c r="L236" s="171"/>
      <c r="M236" s="171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</row>
    <row r="237" ht="10.5" customHeight="1">
      <c r="A237" s="169"/>
      <c r="B237" s="170"/>
      <c r="C237" s="170"/>
      <c r="D237" s="170"/>
      <c r="E237" s="170"/>
      <c r="F237" s="170"/>
      <c r="G237" s="170"/>
      <c r="H237" s="109"/>
      <c r="I237" s="109"/>
      <c r="J237" s="109"/>
      <c r="K237" s="171"/>
      <c r="L237" s="171"/>
      <c r="M237" s="171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</row>
    <row r="238" ht="10.5" customHeight="1">
      <c r="A238" s="169"/>
      <c r="B238" s="170"/>
      <c r="C238" s="170"/>
      <c r="D238" s="170"/>
      <c r="E238" s="170"/>
      <c r="F238" s="170"/>
      <c r="G238" s="170"/>
      <c r="H238" s="109"/>
      <c r="I238" s="109"/>
      <c r="J238" s="109"/>
      <c r="K238" s="171"/>
      <c r="L238" s="171"/>
      <c r="M238" s="171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</row>
    <row r="239" ht="10.5" customHeight="1">
      <c r="A239" s="169"/>
      <c r="B239" s="170"/>
      <c r="C239" s="170"/>
      <c r="D239" s="170"/>
      <c r="E239" s="170"/>
      <c r="F239" s="170"/>
      <c r="G239" s="170"/>
      <c r="H239" s="109"/>
      <c r="I239" s="109"/>
      <c r="J239" s="109"/>
      <c r="K239" s="171"/>
      <c r="L239" s="171"/>
      <c r="M239" s="171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</row>
    <row r="240" ht="10.5" customHeight="1">
      <c r="A240" s="169"/>
      <c r="B240" s="170"/>
      <c r="C240" s="170"/>
      <c r="D240" s="170"/>
      <c r="E240" s="170"/>
      <c r="F240" s="170"/>
      <c r="G240" s="170"/>
      <c r="H240" s="109"/>
      <c r="I240" s="109"/>
      <c r="J240" s="109"/>
      <c r="K240" s="171"/>
      <c r="L240" s="171"/>
      <c r="M240" s="171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</row>
    <row r="241" ht="10.5" customHeight="1">
      <c r="A241" s="169"/>
      <c r="B241" s="170"/>
      <c r="C241" s="170"/>
      <c r="D241" s="170"/>
      <c r="E241" s="170"/>
      <c r="F241" s="170"/>
      <c r="G241" s="170"/>
      <c r="H241" s="109"/>
      <c r="I241" s="109"/>
      <c r="J241" s="109"/>
      <c r="K241" s="171"/>
      <c r="L241" s="171"/>
      <c r="M241" s="171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</row>
    <row r="242" ht="10.5" customHeight="1">
      <c r="A242" s="169"/>
      <c r="B242" s="170"/>
      <c r="C242" s="170"/>
      <c r="D242" s="170"/>
      <c r="E242" s="170"/>
      <c r="F242" s="170"/>
      <c r="G242" s="170"/>
      <c r="H242" s="109"/>
      <c r="I242" s="109"/>
      <c r="J242" s="109"/>
      <c r="K242" s="171"/>
      <c r="L242" s="171"/>
      <c r="M242" s="171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</row>
    <row r="243" ht="10.5" customHeight="1">
      <c r="A243" s="169"/>
      <c r="B243" s="170"/>
      <c r="C243" s="170"/>
      <c r="D243" s="170"/>
      <c r="E243" s="170"/>
      <c r="F243" s="170"/>
      <c r="G243" s="170"/>
      <c r="H243" s="109"/>
      <c r="I243" s="109"/>
      <c r="J243" s="109"/>
      <c r="K243" s="171"/>
      <c r="L243" s="171"/>
      <c r="M243" s="171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</row>
    <row r="244" ht="10.5" customHeight="1">
      <c r="A244" s="169"/>
      <c r="B244" s="170"/>
      <c r="C244" s="170"/>
      <c r="D244" s="170"/>
      <c r="E244" s="170"/>
      <c r="F244" s="170"/>
      <c r="G244" s="170"/>
      <c r="H244" s="109"/>
      <c r="I244" s="109"/>
      <c r="J244" s="109"/>
      <c r="K244" s="171"/>
      <c r="L244" s="171"/>
      <c r="M244" s="171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</row>
    <row r="245" ht="10.5" customHeight="1">
      <c r="A245" s="169"/>
      <c r="B245" s="170"/>
      <c r="C245" s="170"/>
      <c r="D245" s="170"/>
      <c r="E245" s="170"/>
      <c r="F245" s="170"/>
      <c r="G245" s="170"/>
      <c r="H245" s="109"/>
      <c r="I245" s="109"/>
      <c r="J245" s="109"/>
      <c r="K245" s="171"/>
      <c r="L245" s="171"/>
      <c r="M245" s="171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</row>
    <row r="246" ht="10.5" customHeight="1">
      <c r="A246" s="169"/>
      <c r="B246" s="170"/>
      <c r="C246" s="170"/>
      <c r="D246" s="170"/>
      <c r="E246" s="170"/>
      <c r="F246" s="170"/>
      <c r="G246" s="170"/>
      <c r="H246" s="109"/>
      <c r="I246" s="109"/>
      <c r="J246" s="109"/>
      <c r="K246" s="171"/>
      <c r="L246" s="171"/>
      <c r="M246" s="171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</row>
    <row r="247" ht="10.5" customHeight="1">
      <c r="A247" s="169"/>
      <c r="B247" s="170"/>
      <c r="C247" s="170"/>
      <c r="D247" s="170"/>
      <c r="E247" s="170"/>
      <c r="F247" s="170"/>
      <c r="G247" s="170"/>
      <c r="H247" s="109"/>
      <c r="I247" s="109"/>
      <c r="J247" s="109"/>
      <c r="K247" s="171"/>
      <c r="L247" s="171"/>
      <c r="M247" s="171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</row>
    <row r="248" ht="10.5" customHeight="1">
      <c r="A248" s="169"/>
      <c r="B248" s="170"/>
      <c r="C248" s="170"/>
      <c r="D248" s="170"/>
      <c r="E248" s="170"/>
      <c r="F248" s="170"/>
      <c r="G248" s="170"/>
      <c r="H248" s="109"/>
      <c r="I248" s="109"/>
      <c r="J248" s="109"/>
      <c r="K248" s="171"/>
      <c r="L248" s="171"/>
      <c r="M248" s="171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</row>
    <row r="249" ht="10.5" customHeight="1">
      <c r="A249" s="169"/>
      <c r="B249" s="170"/>
      <c r="C249" s="170"/>
      <c r="D249" s="170"/>
      <c r="E249" s="170"/>
      <c r="F249" s="170"/>
      <c r="G249" s="170"/>
      <c r="H249" s="109"/>
      <c r="I249" s="109"/>
      <c r="J249" s="109"/>
      <c r="K249" s="171"/>
      <c r="L249" s="171"/>
      <c r="M249" s="171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</row>
    <row r="250" ht="10.5" customHeight="1">
      <c r="A250" s="169"/>
      <c r="B250" s="170"/>
      <c r="C250" s="170"/>
      <c r="D250" s="170"/>
      <c r="E250" s="170"/>
      <c r="F250" s="170"/>
      <c r="G250" s="170"/>
      <c r="H250" s="109"/>
      <c r="I250" s="109"/>
      <c r="J250" s="109"/>
      <c r="K250" s="171"/>
      <c r="L250" s="171"/>
      <c r="M250" s="171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</row>
    <row r="251" ht="10.5" customHeight="1">
      <c r="A251" s="169"/>
      <c r="B251" s="170"/>
      <c r="C251" s="170"/>
      <c r="D251" s="170"/>
      <c r="E251" s="170"/>
      <c r="F251" s="170"/>
      <c r="G251" s="170"/>
      <c r="H251" s="109"/>
      <c r="I251" s="109"/>
      <c r="J251" s="109"/>
      <c r="K251" s="171"/>
      <c r="L251" s="171"/>
      <c r="M251" s="171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</row>
    <row r="252" ht="10.5" customHeight="1">
      <c r="A252" s="169"/>
      <c r="B252" s="170"/>
      <c r="C252" s="170"/>
      <c r="D252" s="170"/>
      <c r="E252" s="170"/>
      <c r="F252" s="170"/>
      <c r="G252" s="170"/>
      <c r="H252" s="109"/>
      <c r="I252" s="109"/>
      <c r="J252" s="109"/>
      <c r="K252" s="171"/>
      <c r="L252" s="171"/>
      <c r="M252" s="171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</row>
    <row r="253" ht="10.5" customHeight="1">
      <c r="A253" s="169"/>
      <c r="B253" s="170"/>
      <c r="C253" s="170"/>
      <c r="D253" s="170"/>
      <c r="E253" s="170"/>
      <c r="F253" s="170"/>
      <c r="G253" s="170"/>
      <c r="H253" s="109"/>
      <c r="I253" s="109"/>
      <c r="J253" s="109"/>
      <c r="K253" s="171"/>
      <c r="L253" s="171"/>
      <c r="M253" s="171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</row>
    <row r="254" ht="10.5" customHeight="1">
      <c r="A254" s="169"/>
      <c r="B254" s="170"/>
      <c r="C254" s="170"/>
      <c r="D254" s="170"/>
      <c r="E254" s="170"/>
      <c r="F254" s="170"/>
      <c r="G254" s="170"/>
      <c r="H254" s="109"/>
      <c r="I254" s="109"/>
      <c r="J254" s="109"/>
      <c r="K254" s="171"/>
      <c r="L254" s="171"/>
      <c r="M254" s="171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</row>
    <row r="255" ht="10.5" customHeight="1">
      <c r="A255" s="169"/>
      <c r="B255" s="170"/>
      <c r="C255" s="170"/>
      <c r="D255" s="170"/>
      <c r="E255" s="170"/>
      <c r="F255" s="170"/>
      <c r="G255" s="170"/>
      <c r="H255" s="109"/>
      <c r="I255" s="109"/>
      <c r="J255" s="109"/>
      <c r="K255" s="171"/>
      <c r="L255" s="171"/>
      <c r="M255" s="171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</row>
    <row r="256" ht="10.5" customHeight="1">
      <c r="A256" s="169"/>
      <c r="B256" s="170"/>
      <c r="C256" s="170"/>
      <c r="D256" s="170"/>
      <c r="E256" s="170"/>
      <c r="F256" s="170"/>
      <c r="G256" s="170"/>
      <c r="H256" s="109"/>
      <c r="I256" s="109"/>
      <c r="J256" s="109"/>
      <c r="K256" s="171"/>
      <c r="L256" s="171"/>
      <c r="M256" s="171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</row>
    <row r="257" ht="10.5" customHeight="1">
      <c r="A257" s="169"/>
      <c r="B257" s="170"/>
      <c r="C257" s="170"/>
      <c r="D257" s="170"/>
      <c r="E257" s="170"/>
      <c r="F257" s="170"/>
      <c r="G257" s="170"/>
      <c r="H257" s="109"/>
      <c r="I257" s="109"/>
      <c r="J257" s="109"/>
      <c r="K257" s="171"/>
      <c r="L257" s="171"/>
      <c r="M257" s="171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</row>
    <row r="258" ht="10.5" customHeight="1">
      <c r="A258" s="169"/>
      <c r="B258" s="170"/>
      <c r="C258" s="170"/>
      <c r="D258" s="170"/>
      <c r="E258" s="170"/>
      <c r="F258" s="170"/>
      <c r="G258" s="170"/>
      <c r="H258" s="109"/>
      <c r="I258" s="109"/>
      <c r="J258" s="109"/>
      <c r="K258" s="171"/>
      <c r="L258" s="171"/>
      <c r="M258" s="171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7:P7"/>
    <mergeCell ref="A8:P8"/>
    <mergeCell ref="A1:A5"/>
    <mergeCell ref="B1:P1"/>
    <mergeCell ref="B2:P3"/>
    <mergeCell ref="B4:P4"/>
    <mergeCell ref="B5:P5"/>
    <mergeCell ref="K6:M6"/>
    <mergeCell ref="N6:P6"/>
  </mergeCells>
  <hyperlinks>
    <hyperlink r:id="rId1" ref="C9"/>
    <hyperlink r:id="rId2" ref="C19"/>
    <hyperlink r:id="rId3" ref="C28"/>
    <hyperlink r:id="rId4" ref="C36"/>
    <hyperlink r:id="rId5" ref="C38"/>
    <hyperlink r:id="rId6" ref="C41"/>
    <hyperlink r:id="rId7" ref="C105"/>
  </hyperlinks>
  <printOptions/>
  <pageMargins bottom="0.7480314960629921" footer="0.0" header="0.0" left="0.7086614173228347" right="0.7086614173228347" top="0.7480314960629921"/>
  <pageSetup paperSize="9" scale="60" orientation="landscape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61.29"/>
    <col customWidth="1" min="3" max="3" width="37.0"/>
    <col customWidth="1" min="4" max="4" width="15.0"/>
    <col customWidth="1" min="5" max="5" width="12.43"/>
    <col customWidth="1" min="6" max="6" width="8.86"/>
  </cols>
  <sheetData>
    <row r="1" ht="15.0" customHeight="1">
      <c r="A1" s="40"/>
      <c r="B1" s="41" t="s">
        <v>0</v>
      </c>
      <c r="C1" s="7"/>
      <c r="D1" s="7"/>
      <c r="E1" s="7"/>
    </row>
    <row r="2" ht="14.25" customHeight="1">
      <c r="A2" s="42"/>
      <c r="B2" s="6" t="s">
        <v>746</v>
      </c>
      <c r="C2" s="7"/>
      <c r="D2" s="7"/>
      <c r="E2" s="7"/>
    </row>
    <row r="3" ht="14.25" customHeight="1">
      <c r="A3" s="42"/>
      <c r="B3" s="43"/>
      <c r="C3" s="44"/>
      <c r="D3" s="45"/>
      <c r="E3" s="43"/>
    </row>
    <row r="4" ht="66.75" customHeight="1">
      <c r="A4" s="42"/>
      <c r="B4" s="6" t="s">
        <v>747</v>
      </c>
      <c r="C4" s="7"/>
      <c r="D4" s="7"/>
      <c r="E4" s="7"/>
    </row>
    <row r="5" ht="14.25" customHeight="1">
      <c r="A5" s="9" t="s">
        <v>2</v>
      </c>
      <c r="B5" s="9" t="s">
        <v>3</v>
      </c>
      <c r="C5" s="9" t="s">
        <v>4</v>
      </c>
      <c r="D5" s="9" t="s">
        <v>6</v>
      </c>
      <c r="E5" s="9" t="s">
        <v>8</v>
      </c>
    </row>
    <row r="6" ht="21.0" customHeight="1">
      <c r="A6" s="57" t="s">
        <v>1637</v>
      </c>
      <c r="B6" s="12"/>
      <c r="C6" s="12"/>
      <c r="D6" s="12"/>
      <c r="E6" s="13"/>
    </row>
    <row r="7" ht="14.25" customHeight="1">
      <c r="A7" s="14" t="s">
        <v>1638</v>
      </c>
    </row>
    <row r="8" ht="13.5" customHeight="1">
      <c r="A8" s="53" t="s">
        <v>1639</v>
      </c>
      <c r="B8" s="123" t="s">
        <v>1640</v>
      </c>
      <c r="C8" s="17" t="str">
        <f>HYPERLINK("https://ra-matina.ru/?vendor_code=KRD-002")</f>
        <v>https://ra-matina.ru/?vendor_code=KRD-002</v>
      </c>
      <c r="D8" s="19" t="s">
        <v>1641</v>
      </c>
      <c r="E8" s="21" t="s">
        <v>1642</v>
      </c>
    </row>
    <row r="9" ht="13.5" customHeight="1">
      <c r="A9" s="172" t="s">
        <v>1643</v>
      </c>
      <c r="B9" s="173" t="s">
        <v>1644</v>
      </c>
      <c r="C9" s="17" t="str">
        <f>HYPERLINK("https://ra-matina.ru/?vendor_code=KRD-003")</f>
        <v>https://ra-matina.ru/?vendor_code=KRD-003</v>
      </c>
      <c r="D9" s="19" t="s">
        <v>1641</v>
      </c>
      <c r="E9" s="21" t="s">
        <v>1642</v>
      </c>
    </row>
    <row r="10" ht="13.5" customHeight="1">
      <c r="A10" s="172" t="s">
        <v>1645</v>
      </c>
      <c r="B10" s="173" t="s">
        <v>1646</v>
      </c>
      <c r="C10" s="17" t="str">
        <f>HYPERLINK("https://ra-matina.ru/?vendor_code=KRD-004")</f>
        <v>https://ra-matina.ru/?vendor_code=KRD-004</v>
      </c>
      <c r="D10" s="19" t="s">
        <v>1641</v>
      </c>
      <c r="E10" s="21" t="s">
        <v>1642</v>
      </c>
    </row>
    <row r="11" ht="13.5" customHeight="1">
      <c r="A11" s="172" t="s">
        <v>1647</v>
      </c>
      <c r="B11" s="173" t="s">
        <v>1648</v>
      </c>
      <c r="C11" s="17" t="str">
        <f>HYPERLINK("https://ra-matina.ru/?vendor_code=KRD-005")</f>
        <v>https://ra-matina.ru/?vendor_code=KRD-005</v>
      </c>
      <c r="D11" s="19" t="s">
        <v>1641</v>
      </c>
      <c r="E11" s="21" t="s">
        <v>1642</v>
      </c>
    </row>
    <row r="12" ht="13.5" customHeight="1">
      <c r="A12" s="172" t="s">
        <v>1649</v>
      </c>
      <c r="B12" s="173" t="s">
        <v>1650</v>
      </c>
      <c r="C12" s="17" t="str">
        <f>HYPERLINK("https://ra-matina.ru/?vendor_code=KRD-029")</f>
        <v>https://ra-matina.ru/?vendor_code=KRD-029</v>
      </c>
      <c r="D12" s="19" t="s">
        <v>1641</v>
      </c>
      <c r="E12" s="21" t="s">
        <v>1642</v>
      </c>
    </row>
    <row r="13" ht="13.5" customHeight="1">
      <c r="A13" s="172" t="s">
        <v>1651</v>
      </c>
      <c r="B13" s="173" t="s">
        <v>1652</v>
      </c>
      <c r="C13" s="17" t="str">
        <f>HYPERLINK("https://ra-matina.ru/?vendor_code=KRD-006")</f>
        <v>https://ra-matina.ru/?vendor_code=KRD-006</v>
      </c>
      <c r="D13" s="19" t="s">
        <v>1641</v>
      </c>
      <c r="E13" s="21" t="s">
        <v>1642</v>
      </c>
    </row>
    <row r="14" ht="13.5" customHeight="1">
      <c r="A14" s="172" t="s">
        <v>1653</v>
      </c>
      <c r="B14" s="173" t="s">
        <v>1654</v>
      </c>
      <c r="C14" s="17" t="str">
        <f>HYPERLINK("https://ra-matina.ru/?vendor_code=KRD-007")</f>
        <v>https://ra-matina.ru/?vendor_code=KRD-007</v>
      </c>
      <c r="D14" s="19" t="s">
        <v>1641</v>
      </c>
      <c r="E14" s="21" t="s">
        <v>1642</v>
      </c>
    </row>
    <row r="15" ht="13.5" customHeight="1">
      <c r="A15" s="172" t="s">
        <v>1655</v>
      </c>
      <c r="B15" s="173" t="s">
        <v>1656</v>
      </c>
      <c r="C15" s="17" t="str">
        <f>HYPERLINK("https://ra-matina.ru/?vendor_code=KRD-014")</f>
        <v>https://ra-matina.ru/?vendor_code=KRD-014</v>
      </c>
      <c r="D15" s="19" t="s">
        <v>1641</v>
      </c>
      <c r="E15" s="21" t="s">
        <v>1642</v>
      </c>
    </row>
    <row r="16" ht="13.5" customHeight="1">
      <c r="A16" s="172" t="s">
        <v>1657</v>
      </c>
      <c r="B16" s="173" t="s">
        <v>1658</v>
      </c>
      <c r="C16" s="17" t="str">
        <f>HYPERLINK("https://ra-matina.ru/?vendor_code=KRD-015")</f>
        <v>https://ra-matina.ru/?vendor_code=KRD-015</v>
      </c>
      <c r="D16" s="19" t="s">
        <v>1641</v>
      </c>
      <c r="E16" s="21" t="s">
        <v>1642</v>
      </c>
    </row>
    <row r="17" ht="13.5" customHeight="1">
      <c r="A17" s="172" t="s">
        <v>1659</v>
      </c>
      <c r="B17" s="173" t="s">
        <v>1660</v>
      </c>
      <c r="C17" s="17" t="str">
        <f>HYPERLINK("https://ra-matina.ru/?vendor_code=KRD-009")</f>
        <v>https://ra-matina.ru/?vendor_code=KRD-009</v>
      </c>
      <c r="D17" s="19" t="s">
        <v>1641</v>
      </c>
      <c r="E17" s="21" t="s">
        <v>1642</v>
      </c>
    </row>
    <row r="18" ht="13.5" customHeight="1">
      <c r="A18" s="172" t="s">
        <v>1661</v>
      </c>
      <c r="B18" s="173" t="s">
        <v>1662</v>
      </c>
      <c r="C18" s="17" t="str">
        <f>HYPERLINK("https://ra-matina.ru/?vendor_code=KRD-013")</f>
        <v>https://ra-matina.ru/?vendor_code=KRD-013</v>
      </c>
      <c r="D18" s="19" t="s">
        <v>1641</v>
      </c>
      <c r="E18" s="21" t="s">
        <v>1642</v>
      </c>
    </row>
    <row r="19" ht="13.5" customHeight="1">
      <c r="A19" s="172" t="s">
        <v>1663</v>
      </c>
      <c r="B19" s="173" t="s">
        <v>1664</v>
      </c>
      <c r="C19" s="17" t="str">
        <f>HYPERLINK("https://ra-matina.ru/?vendor_code=KRD-035")</f>
        <v>https://ra-matina.ru/?vendor_code=KRD-035</v>
      </c>
      <c r="D19" s="19" t="s">
        <v>1641</v>
      </c>
      <c r="E19" s="21" t="s">
        <v>1642</v>
      </c>
    </row>
    <row r="20" ht="13.5" customHeight="1">
      <c r="A20" s="172" t="s">
        <v>1665</v>
      </c>
      <c r="B20" s="173" t="s">
        <v>1666</v>
      </c>
      <c r="C20" s="17" t="str">
        <f>HYPERLINK("https://ra-matina.ru/?vendor_code=KRD-034")</f>
        <v>https://ra-matina.ru/?vendor_code=KRD-034</v>
      </c>
      <c r="D20" s="19" t="s">
        <v>1641</v>
      </c>
      <c r="E20" s="21" t="s">
        <v>1642</v>
      </c>
    </row>
    <row r="21" ht="13.5" customHeight="1">
      <c r="A21" s="172" t="s">
        <v>1667</v>
      </c>
      <c r="B21" s="173" t="s">
        <v>1668</v>
      </c>
      <c r="C21" s="17" t="str">
        <f>HYPERLINK("https://ra-matina.ru/?vendor_code=KRD-033")</f>
        <v>https://ra-matina.ru/?vendor_code=KRD-033</v>
      </c>
      <c r="D21" s="19" t="s">
        <v>1641</v>
      </c>
      <c r="E21" s="21" t="s">
        <v>1642</v>
      </c>
    </row>
    <row r="22" ht="13.5" customHeight="1">
      <c r="A22" s="172" t="s">
        <v>1669</v>
      </c>
      <c r="B22" s="173" t="s">
        <v>1670</v>
      </c>
      <c r="C22" s="17" t="str">
        <f>HYPERLINK("https://ra-matina.ru/?vendor_code=KRD-032")</f>
        <v>https://ra-matina.ru/?vendor_code=KRD-032</v>
      </c>
      <c r="D22" s="19" t="s">
        <v>1641</v>
      </c>
      <c r="E22" s="21" t="s">
        <v>1642</v>
      </c>
    </row>
    <row r="23" ht="13.5" customHeight="1">
      <c r="A23" s="172" t="s">
        <v>1671</v>
      </c>
      <c r="B23" s="173" t="s">
        <v>1672</v>
      </c>
      <c r="C23" s="17" t="str">
        <f>HYPERLINK("https://ra-matina.ru/?vendor_code=KRD-010")</f>
        <v>https://ra-matina.ru/?vendor_code=KRD-010</v>
      </c>
      <c r="D23" s="19" t="s">
        <v>1641</v>
      </c>
      <c r="E23" s="21" t="s">
        <v>1642</v>
      </c>
    </row>
    <row r="24" ht="13.5" customHeight="1">
      <c r="A24" s="172" t="s">
        <v>1673</v>
      </c>
      <c r="B24" s="173" t="s">
        <v>1674</v>
      </c>
      <c r="C24" s="17" t="str">
        <f>HYPERLINK("https://ra-matina.ru/?vendor_code=KRD-011")</f>
        <v>https://ra-matina.ru/?vendor_code=KRD-011</v>
      </c>
      <c r="D24" s="19" t="s">
        <v>1641</v>
      </c>
      <c r="E24" s="21" t="s">
        <v>1642</v>
      </c>
    </row>
    <row r="25" ht="13.5" customHeight="1">
      <c r="A25" s="172" t="s">
        <v>1675</v>
      </c>
      <c r="B25" s="173" t="s">
        <v>1676</v>
      </c>
      <c r="C25" s="17" t="str">
        <f>HYPERLINK("https://ra-matina.ru/?vendor_code=KRD-012")</f>
        <v>https://ra-matina.ru/?vendor_code=KRD-012</v>
      </c>
      <c r="D25" s="19" t="s">
        <v>1641</v>
      </c>
      <c r="E25" s="21" t="s">
        <v>1642</v>
      </c>
    </row>
    <row r="26" ht="13.5" customHeight="1">
      <c r="A26" s="172" t="s">
        <v>1677</v>
      </c>
      <c r="B26" s="173" t="s">
        <v>1678</v>
      </c>
      <c r="C26" s="17" t="str">
        <f>HYPERLINK("https://ra-matina.ru/?vendor_code=KRD-030")</f>
        <v>https://ra-matina.ru/?vendor_code=KRD-030</v>
      </c>
      <c r="D26" s="19" t="s">
        <v>1641</v>
      </c>
      <c r="E26" s="21" t="s">
        <v>1642</v>
      </c>
    </row>
    <row r="27" ht="13.5" customHeight="1">
      <c r="A27" s="172" t="s">
        <v>1679</v>
      </c>
      <c r="B27" s="173" t="s">
        <v>1680</v>
      </c>
      <c r="C27" s="17" t="str">
        <f>HYPERLINK("https://ra-matina.ru/?vendor_code=KRD-031")</f>
        <v>https://ra-matina.ru/?vendor_code=KRD-031</v>
      </c>
      <c r="D27" s="19" t="s">
        <v>1641</v>
      </c>
      <c r="E27" s="21" t="s">
        <v>1642</v>
      </c>
    </row>
    <row r="28" ht="13.5" customHeight="1">
      <c r="A28" s="172" t="s">
        <v>1681</v>
      </c>
      <c r="B28" s="173" t="s">
        <v>1682</v>
      </c>
      <c r="C28" s="17" t="str">
        <f>HYPERLINK("https://ra-matina.ru/?vendor_code=KRD-027")</f>
        <v>https://ra-matina.ru/?vendor_code=KRD-027</v>
      </c>
      <c r="D28" s="19" t="s">
        <v>1641</v>
      </c>
      <c r="E28" s="21" t="s">
        <v>1642</v>
      </c>
    </row>
    <row r="29" ht="13.5" customHeight="1">
      <c r="A29" s="172" t="s">
        <v>1683</v>
      </c>
      <c r="B29" s="173" t="s">
        <v>1684</v>
      </c>
      <c r="C29" s="17" t="str">
        <f>HYPERLINK("https://ra-matina.ru/?vendor_code=KRD-028")</f>
        <v>https://ra-matina.ru/?vendor_code=KRD-028</v>
      </c>
      <c r="D29" s="19" t="s">
        <v>1641</v>
      </c>
      <c r="E29" s="21" t="s">
        <v>1642</v>
      </c>
    </row>
    <row r="30" ht="13.5" customHeight="1">
      <c r="A30" s="172" t="s">
        <v>1685</v>
      </c>
      <c r="B30" s="173" t="s">
        <v>1686</v>
      </c>
      <c r="C30" s="17" t="str">
        <f>HYPERLINK("https://ra-matina.ru/?vendor_code=KRD-026")</f>
        <v>https://ra-matina.ru/?vendor_code=KRD-026</v>
      </c>
      <c r="D30" s="19" t="s">
        <v>1641</v>
      </c>
      <c r="E30" s="21" t="s">
        <v>1642</v>
      </c>
    </row>
    <row r="31" ht="13.5" customHeight="1">
      <c r="A31" s="172" t="s">
        <v>1687</v>
      </c>
      <c r="B31" s="173" t="s">
        <v>1688</v>
      </c>
      <c r="C31" s="17" t="str">
        <f>HYPERLINK("https://ra-matina.ru/?vendor_code=KRD-016")</f>
        <v>https://ra-matina.ru/?vendor_code=KRD-016</v>
      </c>
      <c r="D31" s="19" t="s">
        <v>1641</v>
      </c>
      <c r="E31" s="21" t="s">
        <v>1642</v>
      </c>
    </row>
    <row r="32" ht="13.5" customHeight="1">
      <c r="A32" s="172" t="s">
        <v>1689</v>
      </c>
      <c r="B32" s="173" t="s">
        <v>1690</v>
      </c>
      <c r="C32" s="17" t="str">
        <f>HYPERLINK("https://ra-matina.ru/?vendor_code=KRD-017")</f>
        <v>https://ra-matina.ru/?vendor_code=KRD-017</v>
      </c>
      <c r="D32" s="19" t="s">
        <v>1641</v>
      </c>
      <c r="E32" s="21" t="s">
        <v>1642</v>
      </c>
    </row>
    <row r="33" ht="13.5" customHeight="1">
      <c r="A33" s="172" t="s">
        <v>1691</v>
      </c>
      <c r="B33" s="173" t="s">
        <v>1692</v>
      </c>
      <c r="C33" s="17" t="str">
        <f>HYPERLINK("https://ra-matina.ru/?vendor_code=KRD-017-1")</f>
        <v>https://ra-matina.ru/?vendor_code=KRD-017-1</v>
      </c>
      <c r="D33" s="19" t="s">
        <v>1641</v>
      </c>
      <c r="E33" s="21" t="s">
        <v>1642</v>
      </c>
    </row>
    <row r="34" ht="13.5" customHeight="1">
      <c r="A34" s="172" t="s">
        <v>1693</v>
      </c>
      <c r="B34" s="173" t="s">
        <v>1694</v>
      </c>
      <c r="C34" s="17" t="str">
        <f>HYPERLINK("https://ra-matina.ru/?vendor_code=KRD-036")</f>
        <v>https://ra-matina.ru/?vendor_code=KRD-036</v>
      </c>
      <c r="D34" s="19" t="s">
        <v>1641</v>
      </c>
      <c r="E34" s="21" t="s">
        <v>1642</v>
      </c>
    </row>
    <row r="35" ht="13.5" customHeight="1">
      <c r="A35" s="172" t="s">
        <v>1695</v>
      </c>
      <c r="B35" s="173" t="s">
        <v>1696</v>
      </c>
      <c r="C35" s="17" t="str">
        <f>HYPERLINK("https://ra-matina.ru/?vendor_code=KRD-038")</f>
        <v>https://ra-matina.ru/?vendor_code=KRD-038</v>
      </c>
      <c r="D35" s="19" t="s">
        <v>1641</v>
      </c>
      <c r="E35" s="21" t="s">
        <v>1642</v>
      </c>
    </row>
    <row r="36" ht="13.5" customHeight="1">
      <c r="A36" s="172" t="s">
        <v>1697</v>
      </c>
      <c r="B36" s="173" t="s">
        <v>1698</v>
      </c>
      <c r="C36" s="17" t="str">
        <f>HYPERLINK("https://ra-matina.ru/?vendor_code=KRD-039")</f>
        <v>https://ra-matina.ru/?vendor_code=KRD-039</v>
      </c>
      <c r="D36" s="19" t="s">
        <v>1641</v>
      </c>
      <c r="E36" s="21" t="s">
        <v>1642</v>
      </c>
    </row>
    <row r="37" ht="13.5" customHeight="1">
      <c r="A37" s="172" t="s">
        <v>1699</v>
      </c>
      <c r="B37" s="173" t="s">
        <v>1700</v>
      </c>
      <c r="C37" s="17" t="str">
        <f>HYPERLINK("https://ra-matina.ru/?vendor_code=KRD-040")</f>
        <v>https://ra-matina.ru/?vendor_code=KRD-040</v>
      </c>
      <c r="D37" s="19" t="s">
        <v>1641</v>
      </c>
      <c r="E37" s="21" t="s">
        <v>1642</v>
      </c>
    </row>
    <row r="38" ht="13.5" customHeight="1">
      <c r="A38" s="172" t="s">
        <v>1701</v>
      </c>
      <c r="B38" s="173" t="s">
        <v>1702</v>
      </c>
      <c r="C38" s="17" t="str">
        <f>HYPERLINK("https://ra-matina.ru/?vendor_code=KRD-041")</f>
        <v>https://ra-matina.ru/?vendor_code=KRD-041</v>
      </c>
      <c r="D38" s="19" t="s">
        <v>1641</v>
      </c>
      <c r="E38" s="21" t="s">
        <v>1642</v>
      </c>
    </row>
    <row r="39" ht="13.5" customHeight="1">
      <c r="A39" s="172" t="s">
        <v>1703</v>
      </c>
      <c r="B39" s="173" t="s">
        <v>1704</v>
      </c>
      <c r="C39" s="17" t="str">
        <f>HYPERLINK("https://ra-matina.ru/?vendor_code=KRD-043")</f>
        <v>https://ra-matina.ru/?vendor_code=KRD-043</v>
      </c>
      <c r="D39" s="19" t="s">
        <v>1641</v>
      </c>
      <c r="E39" s="21" t="s">
        <v>1642</v>
      </c>
    </row>
    <row r="40" ht="13.5" customHeight="1">
      <c r="A40" s="172" t="s">
        <v>1705</v>
      </c>
      <c r="B40" s="173" t="s">
        <v>1706</v>
      </c>
      <c r="C40" s="17" t="str">
        <f>HYPERLINK("https://ra-matina.ru/?vendor_code=KRD-042")</f>
        <v>https://ra-matina.ru/?vendor_code=KRD-042</v>
      </c>
      <c r="D40" s="19" t="s">
        <v>1641</v>
      </c>
      <c r="E40" s="21" t="s">
        <v>1642</v>
      </c>
    </row>
    <row r="41" ht="13.5" customHeight="1">
      <c r="A41" s="172" t="s">
        <v>1707</v>
      </c>
      <c r="B41" s="173" t="s">
        <v>1708</v>
      </c>
      <c r="C41" s="17" t="str">
        <f>HYPERLINK("https://ra-matina.ru/?vendor_code=KRD-045")</f>
        <v>https://ra-matina.ru/?vendor_code=KRD-045</v>
      </c>
      <c r="D41" s="19" t="s">
        <v>1641</v>
      </c>
      <c r="E41" s="21" t="s">
        <v>1642</v>
      </c>
    </row>
    <row r="42" ht="13.5" customHeight="1">
      <c r="A42" s="172" t="s">
        <v>1709</v>
      </c>
      <c r="B42" s="173" t="s">
        <v>1710</v>
      </c>
      <c r="C42" s="17" t="str">
        <f>HYPERLINK("https://ra-matina.ru/?vendor_code=KRD-044")</f>
        <v>https://ra-matina.ru/?vendor_code=KRD-044</v>
      </c>
      <c r="D42" s="19" t="s">
        <v>1641</v>
      </c>
      <c r="E42" s="21" t="s">
        <v>1642</v>
      </c>
    </row>
    <row r="43" ht="13.5" customHeight="1">
      <c r="A43" s="172" t="s">
        <v>1711</v>
      </c>
      <c r="B43" s="173" t="s">
        <v>1712</v>
      </c>
      <c r="C43" s="17" t="str">
        <f>HYPERLINK("https://ra-matina.ru/?vendor_code=KRD-056")</f>
        <v>https://ra-matina.ru/?vendor_code=KRD-056</v>
      </c>
      <c r="D43" s="19" t="s">
        <v>1641</v>
      </c>
      <c r="E43" s="21" t="s">
        <v>1642</v>
      </c>
    </row>
    <row r="44" ht="13.5" customHeight="1">
      <c r="A44" s="172" t="s">
        <v>1713</v>
      </c>
      <c r="B44" s="173" t="s">
        <v>1714</v>
      </c>
      <c r="C44" s="17" t="str">
        <f>HYPERLINK("https://ra-matina.ru/?vendor_code=KRD-057")</f>
        <v>https://ra-matina.ru/?vendor_code=KRD-057</v>
      </c>
      <c r="D44" s="19" t="s">
        <v>1641</v>
      </c>
      <c r="E44" s="21" t="s">
        <v>1642</v>
      </c>
    </row>
    <row r="45" ht="13.5" customHeight="1">
      <c r="A45" s="172" t="s">
        <v>1715</v>
      </c>
      <c r="B45" s="173" t="s">
        <v>1716</v>
      </c>
      <c r="C45" s="17" t="str">
        <f>HYPERLINK("https://ra-matina.ru/?vendor_code=KRD-046")</f>
        <v>https://ra-matina.ru/?vendor_code=KRD-046</v>
      </c>
      <c r="D45" s="19" t="s">
        <v>1641</v>
      </c>
      <c r="E45" s="21" t="s">
        <v>1642</v>
      </c>
    </row>
    <row r="46" ht="13.5" customHeight="1">
      <c r="A46" s="172" t="s">
        <v>1717</v>
      </c>
      <c r="B46" s="173" t="s">
        <v>1718</v>
      </c>
      <c r="C46" s="17" t="str">
        <f>HYPERLINK("https://ra-matina.ru/?vendor_code=KRD-047")</f>
        <v>https://ra-matina.ru/?vendor_code=KRD-047</v>
      </c>
      <c r="D46" s="19" t="s">
        <v>1641</v>
      </c>
      <c r="E46" s="21" t="s">
        <v>1642</v>
      </c>
    </row>
    <row r="47" ht="13.5" customHeight="1">
      <c r="A47" s="172" t="s">
        <v>1719</v>
      </c>
      <c r="B47" s="173" t="s">
        <v>1720</v>
      </c>
      <c r="C47" s="17" t="str">
        <f>HYPERLINK("https://ra-matina.ru/?vendor_code=KRD-048")</f>
        <v>https://ra-matina.ru/?vendor_code=KRD-048</v>
      </c>
      <c r="D47" s="19" t="s">
        <v>1641</v>
      </c>
      <c r="E47" s="21" t="s">
        <v>1642</v>
      </c>
    </row>
    <row r="48" ht="13.5" customHeight="1">
      <c r="A48" s="172" t="s">
        <v>1721</v>
      </c>
      <c r="B48" s="173" t="s">
        <v>1722</v>
      </c>
      <c r="C48" s="17" t="str">
        <f>HYPERLINK("https://ra-matina.ru/?vendor_code=KRD-049")</f>
        <v>https://ra-matina.ru/?vendor_code=KRD-049</v>
      </c>
      <c r="D48" s="19" t="s">
        <v>1641</v>
      </c>
      <c r="E48" s="21" t="s">
        <v>1642</v>
      </c>
    </row>
    <row r="49" ht="13.5" customHeight="1">
      <c r="A49" s="172" t="s">
        <v>1723</v>
      </c>
      <c r="B49" s="173" t="s">
        <v>1724</v>
      </c>
      <c r="C49" s="17" t="str">
        <f>HYPERLINK("https://ra-matina.ru/?vendor_code=KRD-050")</f>
        <v>https://ra-matina.ru/?vendor_code=KRD-050</v>
      </c>
      <c r="D49" s="19" t="s">
        <v>1641</v>
      </c>
      <c r="E49" s="21" t="s">
        <v>1642</v>
      </c>
    </row>
    <row r="50" ht="13.5" customHeight="1">
      <c r="A50" s="172" t="s">
        <v>1725</v>
      </c>
      <c r="B50" s="173" t="s">
        <v>1726</v>
      </c>
      <c r="C50" s="17" t="str">
        <f>HYPERLINK("https://ra-matina.ru/?vendor_code=KRD-055")</f>
        <v>https://ra-matina.ru/?vendor_code=KRD-055</v>
      </c>
      <c r="D50" s="19" t="s">
        <v>1641</v>
      </c>
      <c r="E50" s="21" t="s">
        <v>1642</v>
      </c>
    </row>
    <row r="51" ht="13.5" customHeight="1">
      <c r="A51" s="53" t="s">
        <v>1727</v>
      </c>
      <c r="B51" s="123" t="s">
        <v>1728</v>
      </c>
      <c r="C51" s="17" t="str">
        <f>HYPERLINK("https://ra-matina.ru/?vendor_code=KRD-001")</f>
        <v>https://ra-matina.ru/?vendor_code=KRD-001</v>
      </c>
      <c r="D51" s="19" t="s">
        <v>1641</v>
      </c>
      <c r="E51" s="21" t="s">
        <v>1642</v>
      </c>
    </row>
    <row r="52" ht="13.5" customHeight="1">
      <c r="A52" s="53" t="s">
        <v>1729</v>
      </c>
      <c r="B52" s="123" t="s">
        <v>1730</v>
      </c>
      <c r="C52" s="17" t="str">
        <f>HYPERLINK("https://ra-matina.ru/?vendor_code=KRD-051")</f>
        <v>https://ra-matina.ru/?vendor_code=KRD-051</v>
      </c>
      <c r="D52" s="19" t="s">
        <v>1641</v>
      </c>
      <c r="E52" s="21" t="s">
        <v>1642</v>
      </c>
    </row>
    <row r="53" ht="13.5" customHeight="1">
      <c r="A53" s="53" t="s">
        <v>1731</v>
      </c>
      <c r="B53" s="123" t="s">
        <v>1732</v>
      </c>
      <c r="C53" s="17" t="str">
        <f>HYPERLINK("https://ra-matina.ru/?vendor_code=KRD-052")</f>
        <v>https://ra-matina.ru/?vendor_code=KRD-052</v>
      </c>
      <c r="D53" s="19" t="s">
        <v>1641</v>
      </c>
      <c r="E53" s="21" t="s">
        <v>1642</v>
      </c>
    </row>
    <row r="54" ht="13.5" customHeight="1">
      <c r="A54" s="53" t="s">
        <v>1733</v>
      </c>
      <c r="B54" s="123" t="s">
        <v>1734</v>
      </c>
      <c r="C54" s="17" t="str">
        <f>HYPERLINK("https://ra-matina.ru/?vendor_code=KRD-053")</f>
        <v>https://ra-matina.ru/?vendor_code=KRD-053</v>
      </c>
      <c r="D54" s="19" t="s">
        <v>1641</v>
      </c>
      <c r="E54" s="21" t="s">
        <v>1642</v>
      </c>
    </row>
    <row r="55" ht="13.5" customHeight="1">
      <c r="A55" s="53" t="s">
        <v>1735</v>
      </c>
      <c r="B55" s="123" t="s">
        <v>1736</v>
      </c>
      <c r="C55" s="17" t="str">
        <f>HYPERLINK("https://ra-matina.ru/?vendor_code=KRD-054")</f>
        <v>https://ra-matina.ru/?vendor_code=KRD-054</v>
      </c>
      <c r="D55" s="19" t="s">
        <v>1641</v>
      </c>
      <c r="E55" s="21" t="s">
        <v>1642</v>
      </c>
    </row>
    <row r="56" ht="13.5" customHeight="1">
      <c r="A56" s="53" t="s">
        <v>1737</v>
      </c>
      <c r="B56" s="123" t="s">
        <v>1738</v>
      </c>
      <c r="C56" s="17" t="str">
        <f>HYPERLINK("https://ra-matina.ru/?vendor_code=KRD-019")</f>
        <v>https://ra-matina.ru/?vendor_code=KRD-019</v>
      </c>
      <c r="D56" s="19" t="s">
        <v>1641</v>
      </c>
      <c r="E56" s="21" t="s">
        <v>1642</v>
      </c>
    </row>
    <row r="57" ht="13.5" customHeight="1">
      <c r="A57" s="53" t="s">
        <v>1739</v>
      </c>
      <c r="B57" s="123" t="s">
        <v>1740</v>
      </c>
      <c r="C57" s="17" t="str">
        <f>HYPERLINK("https://ra-matina.ru/?vendor_code=KRD-020")</f>
        <v>https://ra-matina.ru/?vendor_code=KRD-020</v>
      </c>
      <c r="D57" s="19" t="s">
        <v>1641</v>
      </c>
      <c r="E57" s="21" t="s">
        <v>1642</v>
      </c>
    </row>
    <row r="58" ht="13.5" customHeight="1">
      <c r="A58" s="53" t="s">
        <v>1741</v>
      </c>
      <c r="B58" s="123" t="s">
        <v>1742</v>
      </c>
      <c r="C58" s="17" t="str">
        <f>HYPERLINK("https://ra-matina.ru/?vendor_code=KRD-021")</f>
        <v>https://ra-matina.ru/?vendor_code=KRD-021</v>
      </c>
      <c r="D58" s="19" t="s">
        <v>1641</v>
      </c>
      <c r="E58" s="21" t="s">
        <v>1642</v>
      </c>
    </row>
    <row r="59" ht="13.5" customHeight="1">
      <c r="A59" s="53" t="s">
        <v>1743</v>
      </c>
      <c r="B59" s="123" t="s">
        <v>1744</v>
      </c>
      <c r="C59" s="17" t="str">
        <f>HYPERLINK("https://ra-matina.ru/?vendor_code=KRD-022")</f>
        <v>https://ra-matina.ru/?vendor_code=KRD-022</v>
      </c>
      <c r="D59" s="19" t="s">
        <v>1641</v>
      </c>
      <c r="E59" s="21" t="s">
        <v>1642</v>
      </c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E1"/>
    <mergeCell ref="B2:E2"/>
    <mergeCell ref="B4:E4"/>
    <mergeCell ref="A6:E6"/>
    <mergeCell ref="A7:E7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84.29"/>
    <col customWidth="1" min="3" max="3" width="43.14"/>
    <col customWidth="1" min="4" max="4" width="9.0"/>
    <col customWidth="1" min="5" max="5" width="17.29"/>
    <col customWidth="1" min="6" max="6" width="9.71"/>
    <col customWidth="1" min="7" max="7" width="9.0"/>
  </cols>
  <sheetData>
    <row r="1" ht="15.0" customHeight="1">
      <c r="A1" s="40"/>
      <c r="B1" s="41" t="s">
        <v>0</v>
      </c>
      <c r="C1" s="7"/>
      <c r="D1" s="7"/>
      <c r="E1" s="7"/>
      <c r="F1" s="7"/>
      <c r="G1" s="7"/>
    </row>
    <row r="2" ht="14.25" customHeight="1">
      <c r="A2" s="42"/>
      <c r="B2" s="6" t="s">
        <v>746</v>
      </c>
      <c r="C2" s="7"/>
      <c r="D2" s="7"/>
      <c r="E2" s="7"/>
      <c r="F2" s="7"/>
      <c r="G2" s="7"/>
    </row>
    <row r="3" ht="14.25" customHeight="1">
      <c r="A3" s="42"/>
      <c r="B3" s="43"/>
      <c r="C3" s="44"/>
      <c r="D3" s="45"/>
      <c r="E3" s="45"/>
      <c r="F3" s="43"/>
      <c r="G3" s="43"/>
    </row>
    <row r="4" ht="66.75" customHeight="1">
      <c r="A4" s="42"/>
      <c r="B4" s="6" t="s">
        <v>747</v>
      </c>
      <c r="C4" s="7"/>
      <c r="D4" s="7"/>
      <c r="E4" s="7"/>
      <c r="F4" s="7"/>
      <c r="G4" s="7"/>
    </row>
    <row r="5" ht="14.25" customHeight="1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ht="21.0" customHeight="1">
      <c r="A6" s="57" t="s">
        <v>1745</v>
      </c>
      <c r="B6" s="12"/>
      <c r="C6" s="12"/>
      <c r="D6" s="12"/>
      <c r="E6" s="12"/>
      <c r="F6" s="12"/>
      <c r="G6" s="13"/>
    </row>
    <row r="7" ht="14.25" customHeight="1">
      <c r="A7" s="14" t="s">
        <v>1746</v>
      </c>
    </row>
    <row r="8" ht="13.5" customHeight="1">
      <c r="A8" s="53" t="s">
        <v>1747</v>
      </c>
      <c r="B8" s="16" t="s">
        <v>1748</v>
      </c>
      <c r="C8" s="17" t="str">
        <f>HYPERLINK("https://ra-matina.ru/?vendor_code=UM_SF_012")</f>
        <v>https://ra-matina.ru/?vendor_code=UM_SF_012</v>
      </c>
      <c r="D8" s="18" t="s">
        <v>21</v>
      </c>
      <c r="E8" s="19" t="s">
        <v>22</v>
      </c>
      <c r="F8" s="15" t="s">
        <v>15</v>
      </c>
      <c r="G8" s="20" t="s">
        <v>1749</v>
      </c>
    </row>
    <row r="9" ht="13.5" customHeight="1">
      <c r="A9" s="53" t="s">
        <v>1750</v>
      </c>
      <c r="B9" s="16" t="s">
        <v>1751</v>
      </c>
      <c r="C9" s="17" t="str">
        <f>HYPERLINK("https://ra-matina.ru/?vendor_code=art_0065")</f>
        <v>https://ra-matina.ru/?vendor_code=art_0065</v>
      </c>
      <c r="D9" s="53" t="s">
        <v>18</v>
      </c>
      <c r="E9" s="19" t="s">
        <v>1752</v>
      </c>
      <c r="F9" s="15" t="s">
        <v>15</v>
      </c>
      <c r="G9" s="54" t="s">
        <v>1753</v>
      </c>
    </row>
    <row r="10" ht="13.5" customHeight="1">
      <c r="A10" s="15" t="s">
        <v>1754</v>
      </c>
      <c r="B10" s="52" t="s">
        <v>1755</v>
      </c>
      <c r="C10" s="17" t="str">
        <f>HYPERLINK("https://ra-matina.ru/?vendor_code=KrbpilN002Б1")</f>
        <v>https://ra-matina.ru/?vendor_code=KrbpilN002Б1</v>
      </c>
      <c r="D10" s="15" t="s">
        <v>31</v>
      </c>
      <c r="E10" s="19" t="s">
        <v>1752</v>
      </c>
      <c r="F10" s="15" t="s">
        <v>15</v>
      </c>
      <c r="G10" s="21">
        <v>10000.0</v>
      </c>
    </row>
    <row r="11" ht="13.5" customHeight="1">
      <c r="A11" s="15" t="s">
        <v>1756</v>
      </c>
      <c r="B11" s="52" t="s">
        <v>1757</v>
      </c>
      <c r="C11" s="17" t="str">
        <f>HYPERLINK("https://ra-matina.ru/?vendor_code=KrbpilN001А1")</f>
        <v>https://ra-matina.ru/?vendor_code=KrbpilN001А1</v>
      </c>
      <c r="D11" s="15" t="s">
        <v>43</v>
      </c>
      <c r="E11" s="19" t="s">
        <v>1752</v>
      </c>
      <c r="F11" s="15" t="s">
        <v>15</v>
      </c>
      <c r="G11" s="21">
        <v>10000.0</v>
      </c>
    </row>
    <row r="12" ht="13.5" customHeight="1">
      <c r="A12" s="53" t="s">
        <v>1758</v>
      </c>
      <c r="B12" s="16" t="s">
        <v>1759</v>
      </c>
      <c r="C12" s="17" t="str">
        <f>HYPERLINK("https://ra-matina.ru/?vendor_code=art_0055")</f>
        <v>https://ra-matina.ru/?vendor_code=art_0055</v>
      </c>
      <c r="D12" s="18" t="s">
        <v>28</v>
      </c>
      <c r="E12" s="19" t="s">
        <v>22</v>
      </c>
      <c r="F12" s="15" t="s">
        <v>15</v>
      </c>
      <c r="G12" s="54" t="s">
        <v>1760</v>
      </c>
    </row>
    <row r="13" ht="13.5" customHeight="1">
      <c r="A13" s="15" t="s">
        <v>1761</v>
      </c>
      <c r="B13" s="52" t="s">
        <v>1762</v>
      </c>
      <c r="C13" s="17" t="str">
        <f>HYPERLINK("https://ra-matina.ru/?vendor_code=KrbpilN004А")</f>
        <v>https://ra-matina.ru/?vendor_code=KrbpilN004А</v>
      </c>
      <c r="D13" s="15" t="s">
        <v>28</v>
      </c>
      <c r="E13" s="19" t="s">
        <v>22</v>
      </c>
      <c r="F13" s="15" t="s">
        <v>15</v>
      </c>
      <c r="G13" s="21">
        <v>12700.0</v>
      </c>
    </row>
    <row r="14" ht="13.5" customHeight="1">
      <c r="A14" s="15" t="s">
        <v>1763</v>
      </c>
      <c r="B14" s="52" t="s">
        <v>1762</v>
      </c>
      <c r="C14" s="17" t="str">
        <f>HYPERLINK("https://ra-matina.ru/?vendor_code=KrbpilN004Б")</f>
        <v>https://ra-matina.ru/?vendor_code=KrbpilN004Б</v>
      </c>
      <c r="D14" s="15" t="s">
        <v>28</v>
      </c>
      <c r="E14" s="19" t="s">
        <v>22</v>
      </c>
      <c r="F14" s="15" t="s">
        <v>15</v>
      </c>
      <c r="G14" s="21">
        <v>12700.0</v>
      </c>
    </row>
    <row r="15" ht="13.5" customHeight="1">
      <c r="A15" s="15" t="s">
        <v>1764</v>
      </c>
      <c r="B15" s="52" t="s">
        <v>1765</v>
      </c>
      <c r="C15" s="17" t="str">
        <f>HYPERLINK("https://ra-matina.ru/?vendor_code=KrbpilN004_14А")</f>
        <v>https://ra-matina.ru/?vendor_code=KrbpilN004_14А</v>
      </c>
      <c r="D15" s="15" t="s">
        <v>28</v>
      </c>
      <c r="E15" s="19" t="s">
        <v>22</v>
      </c>
      <c r="F15" s="15" t="s">
        <v>40</v>
      </c>
      <c r="G15" s="21">
        <v>11500.0</v>
      </c>
    </row>
    <row r="16" ht="13.5" customHeight="1">
      <c r="A16" s="15" t="s">
        <v>1766</v>
      </c>
      <c r="B16" s="52" t="s">
        <v>1767</v>
      </c>
      <c r="C16" s="17" t="str">
        <f>HYPERLINK("https://ra-matina.ru/?vendor_code=KrbpilN004_13А")</f>
        <v>https://ra-matina.ru/?vendor_code=KrbpilN004_13А</v>
      </c>
      <c r="D16" s="15" t="s">
        <v>28</v>
      </c>
      <c r="E16" s="19" t="s">
        <v>22</v>
      </c>
      <c r="F16" s="15" t="s">
        <v>40</v>
      </c>
      <c r="G16" s="21">
        <v>11500.0</v>
      </c>
    </row>
    <row r="17" ht="13.5" customHeight="1">
      <c r="A17" s="15" t="s">
        <v>1768</v>
      </c>
      <c r="B17" s="52" t="s">
        <v>1769</v>
      </c>
      <c r="C17" s="17" t="str">
        <f>HYPERLINK("https://ra-matina.ru/?vendor_code=KrbpilN004_11А")</f>
        <v>https://ra-matina.ru/?vendor_code=KrbpilN004_11А</v>
      </c>
      <c r="D17" s="15" t="s">
        <v>28</v>
      </c>
      <c r="E17" s="19" t="s">
        <v>22</v>
      </c>
      <c r="F17" s="15" t="s">
        <v>40</v>
      </c>
      <c r="G17" s="21">
        <v>11500.0</v>
      </c>
    </row>
    <row r="18" ht="13.5" customHeight="1">
      <c r="A18" s="53" t="s">
        <v>1770</v>
      </c>
      <c r="B18" s="16" t="s">
        <v>1771</v>
      </c>
      <c r="C18" s="17" t="str">
        <f>HYPERLINK("https://ra-matina.ru/?vendor_code=art_0083")</f>
        <v>https://ra-matina.ru/?vendor_code=art_0083</v>
      </c>
      <c r="D18" s="53" t="s">
        <v>898</v>
      </c>
      <c r="E18" s="19" t="s">
        <v>1752</v>
      </c>
      <c r="F18" s="15" t="s">
        <v>15</v>
      </c>
      <c r="G18" s="54" t="s">
        <v>1772</v>
      </c>
    </row>
    <row r="19" ht="13.5" customHeight="1">
      <c r="A19" s="53" t="s">
        <v>1773</v>
      </c>
      <c r="B19" s="16" t="s">
        <v>1771</v>
      </c>
      <c r="C19" s="17" t="str">
        <f>HYPERLINK("https://ra-matina.ru/?vendor_code=art_0084")</f>
        <v>https://ra-matina.ru/?vendor_code=art_0084</v>
      </c>
      <c r="D19" s="53" t="s">
        <v>21</v>
      </c>
      <c r="E19" s="19" t="s">
        <v>22</v>
      </c>
      <c r="F19" s="15" t="s">
        <v>15</v>
      </c>
      <c r="G19" s="54" t="s">
        <v>1774</v>
      </c>
    </row>
    <row r="20" ht="13.5" customHeight="1">
      <c r="A20" s="15" t="s">
        <v>1775</v>
      </c>
      <c r="B20" s="52" t="s">
        <v>1776</v>
      </c>
      <c r="C20" s="17" t="str">
        <f>HYPERLINK("https://ra-matina.ru/?vendor_code=KrbpilN003А")</f>
        <v>https://ra-matina.ru/?vendor_code=KrbpilN003А</v>
      </c>
      <c r="D20" s="15" t="s">
        <v>28</v>
      </c>
      <c r="E20" s="19" t="s">
        <v>22</v>
      </c>
      <c r="F20" s="15" t="s">
        <v>15</v>
      </c>
      <c r="G20" s="21">
        <v>10500.0</v>
      </c>
    </row>
    <row r="21" ht="13.5" customHeight="1">
      <c r="A21" s="53" t="s">
        <v>1777</v>
      </c>
      <c r="B21" s="16" t="s">
        <v>1778</v>
      </c>
      <c r="C21" s="17" t="str">
        <f>HYPERLINK("https://ra-matina.ru/?vendor_code=art_0039")</f>
        <v>https://ra-matina.ru/?vendor_code=art_0039</v>
      </c>
      <c r="D21" s="53" t="s">
        <v>18</v>
      </c>
      <c r="E21" s="19" t="s">
        <v>1752</v>
      </c>
      <c r="F21" s="15" t="s">
        <v>15</v>
      </c>
      <c r="G21" s="54" t="s">
        <v>1772</v>
      </c>
    </row>
    <row r="22" ht="13.5" customHeight="1">
      <c r="A22" s="53" t="s">
        <v>1779</v>
      </c>
      <c r="B22" s="16" t="s">
        <v>1780</v>
      </c>
      <c r="C22" s="17" t="str">
        <f>HYPERLINK("https://ra-matina.ru/?vendor_code=П001А5")</f>
        <v>https://ra-matina.ru/?vendor_code=П001А5</v>
      </c>
      <c r="D22" s="53" t="s">
        <v>28</v>
      </c>
      <c r="E22" s="19" t="s">
        <v>1752</v>
      </c>
      <c r="F22" s="15" t="s">
        <v>15</v>
      </c>
      <c r="G22" s="54" t="s">
        <v>1781</v>
      </c>
    </row>
    <row r="23" ht="13.5" customHeight="1">
      <c r="A23" s="53" t="s">
        <v>1782</v>
      </c>
      <c r="B23" s="16" t="s">
        <v>1780</v>
      </c>
      <c r="C23" s="17" t="str">
        <f>HYPERLINK("https://ra-matina.ru/?vendor_code=П001Б5")</f>
        <v>https://ra-matina.ru/?vendor_code=П001Б5</v>
      </c>
      <c r="D23" s="53" t="s">
        <v>21</v>
      </c>
      <c r="E23" s="19" t="s">
        <v>1752</v>
      </c>
      <c r="F23" s="15" t="s">
        <v>15</v>
      </c>
      <c r="G23" s="54" t="s">
        <v>1783</v>
      </c>
    </row>
    <row r="24" ht="13.5" customHeight="1">
      <c r="A24" s="53" t="s">
        <v>1784</v>
      </c>
      <c r="B24" s="16" t="s">
        <v>1785</v>
      </c>
      <c r="C24" s="17" t="str">
        <f>HYPERLINK("https://ra-matina.ru/?vendor_code=П001Б5-1")</f>
        <v>https://ra-matina.ru/?vendor_code=П001Б5-1</v>
      </c>
      <c r="D24" s="53" t="s">
        <v>21</v>
      </c>
      <c r="E24" s="19" t="s">
        <v>1752</v>
      </c>
      <c r="F24" s="15" t="s">
        <v>15</v>
      </c>
      <c r="G24" s="54" t="s">
        <v>1783</v>
      </c>
    </row>
    <row r="25" ht="13.5" customHeight="1">
      <c r="A25" s="53" t="s">
        <v>1786</v>
      </c>
      <c r="B25" s="16" t="s">
        <v>1785</v>
      </c>
      <c r="C25" s="17" t="str">
        <f>HYPERLINK("https://ra-matina.ru/?vendor_code=П001Б5-2")</f>
        <v>https://ra-matina.ru/?vendor_code=П001Б5-2</v>
      </c>
      <c r="D25" s="53" t="s">
        <v>28</v>
      </c>
      <c r="E25" s="19" t="s">
        <v>1752</v>
      </c>
      <c r="F25" s="15" t="s">
        <v>15</v>
      </c>
      <c r="G25" s="54" t="s">
        <v>1783</v>
      </c>
    </row>
    <row r="26" ht="13.5" customHeight="1">
      <c r="A26" s="53" t="s">
        <v>1787</v>
      </c>
      <c r="B26" s="16" t="s">
        <v>1788</v>
      </c>
      <c r="C26" s="17" t="str">
        <f>HYPERLINK("https://ra-matina.ru/?vendor_code=П002Б5")</f>
        <v>https://ra-matina.ru/?vendor_code=П002Б5</v>
      </c>
      <c r="D26" s="53" t="s">
        <v>28</v>
      </c>
      <c r="E26" s="19" t="s">
        <v>1752</v>
      </c>
      <c r="F26" s="15" t="s">
        <v>15</v>
      </c>
      <c r="G26" s="54" t="s">
        <v>1781</v>
      </c>
    </row>
    <row r="27" ht="13.5" customHeight="1">
      <c r="A27" s="53" t="s">
        <v>1789</v>
      </c>
      <c r="B27" s="16" t="s">
        <v>1788</v>
      </c>
      <c r="C27" s="17" t="str">
        <f>HYPERLINK("https://ra-matina.ru/?vendor_code=П002Б5-1")</f>
        <v>https://ra-matina.ru/?vendor_code=П002Б5-1</v>
      </c>
      <c r="D27" s="53" t="s">
        <v>28</v>
      </c>
      <c r="E27" s="19" t="s">
        <v>1752</v>
      </c>
      <c r="F27" s="15" t="s">
        <v>15</v>
      </c>
      <c r="G27" s="54" t="s">
        <v>1783</v>
      </c>
    </row>
    <row r="28" ht="13.5" customHeight="1">
      <c r="A28" s="53" t="s">
        <v>1790</v>
      </c>
      <c r="B28" s="16" t="s">
        <v>1791</v>
      </c>
      <c r="C28" s="17" t="str">
        <f>HYPERLINK("https://ra-matina.ru/?vendor_code=П003А5")</f>
        <v>https://ra-matina.ru/?vendor_code=П003А5</v>
      </c>
      <c r="D28" s="53" t="s">
        <v>28</v>
      </c>
      <c r="E28" s="19" t="s">
        <v>1752</v>
      </c>
      <c r="F28" s="15" t="s">
        <v>15</v>
      </c>
      <c r="G28" s="54" t="s">
        <v>1781</v>
      </c>
    </row>
    <row r="29" ht="13.5" customHeight="1">
      <c r="A29" s="53" t="s">
        <v>1792</v>
      </c>
      <c r="B29" s="16" t="s">
        <v>1791</v>
      </c>
      <c r="C29" s="17" t="str">
        <f>HYPERLINK("https://ra-matina.ru/?vendor_code=П003Б5")</f>
        <v>https://ra-matina.ru/?vendor_code=П003Б5</v>
      </c>
      <c r="D29" s="53" t="s">
        <v>21</v>
      </c>
      <c r="E29" s="19" t="s">
        <v>1752</v>
      </c>
      <c r="F29" s="15" t="s">
        <v>15</v>
      </c>
      <c r="G29" s="54" t="s">
        <v>1783</v>
      </c>
    </row>
    <row r="30" ht="13.5" customHeight="1">
      <c r="A30" s="53" t="s">
        <v>1793</v>
      </c>
      <c r="B30" s="16" t="s">
        <v>1794</v>
      </c>
      <c r="C30" s="17" t="str">
        <f>HYPERLINK("https://ra-matina.ru/?vendor_code=П005А5")</f>
        <v>https://ra-matina.ru/?vendor_code=П005А5</v>
      </c>
      <c r="D30" s="53" t="s">
        <v>28</v>
      </c>
      <c r="E30" s="19" t="s">
        <v>1752</v>
      </c>
      <c r="F30" s="15" t="s">
        <v>15</v>
      </c>
      <c r="G30" s="54" t="s">
        <v>1781</v>
      </c>
    </row>
    <row r="31" ht="13.5" customHeight="1">
      <c r="A31" s="53" t="s">
        <v>1795</v>
      </c>
      <c r="B31" s="16" t="s">
        <v>1794</v>
      </c>
      <c r="C31" s="17" t="str">
        <f>HYPERLINK("https://ra-matina.ru/?vendor_code=П005Б5")</f>
        <v>https://ra-matina.ru/?vendor_code=П005Б5</v>
      </c>
      <c r="D31" s="53" t="s">
        <v>21</v>
      </c>
      <c r="E31" s="19" t="s">
        <v>1752</v>
      </c>
      <c r="F31" s="15" t="s">
        <v>15</v>
      </c>
      <c r="G31" s="54" t="s">
        <v>1783</v>
      </c>
    </row>
    <row r="32" ht="13.5" customHeight="1">
      <c r="A32" s="15" t="s">
        <v>1796</v>
      </c>
      <c r="B32" s="52" t="s">
        <v>1797</v>
      </c>
      <c r="C32" s="17" t="str">
        <f>HYPERLINK("https://ra-matina.ru/?vendor_code=KrbpilN005А")</f>
        <v>https://ra-matina.ru/?vendor_code=KrbpilN005А</v>
      </c>
      <c r="D32" s="15" t="s">
        <v>28</v>
      </c>
      <c r="E32" s="19" t="s">
        <v>22</v>
      </c>
      <c r="F32" s="15" t="s">
        <v>40</v>
      </c>
      <c r="G32" s="21">
        <v>12700.0</v>
      </c>
    </row>
    <row r="33" ht="13.5" customHeight="1">
      <c r="A33" s="15" t="s">
        <v>1798</v>
      </c>
      <c r="B33" s="52" t="s">
        <v>1799</v>
      </c>
      <c r="C33" s="17" t="str">
        <f>HYPERLINK("https://ra-matina.ru/?vendor_code=KrbpilN006А")</f>
        <v>https://ra-matina.ru/?vendor_code=KrbpilN006А</v>
      </c>
      <c r="D33" s="15" t="s">
        <v>28</v>
      </c>
      <c r="E33" s="19" t="s">
        <v>22</v>
      </c>
      <c r="F33" s="15" t="s">
        <v>40</v>
      </c>
      <c r="G33" s="21">
        <v>12700.0</v>
      </c>
    </row>
    <row r="34" ht="13.5" customHeight="1">
      <c r="A34" s="53" t="s">
        <v>1800</v>
      </c>
      <c r="B34" s="16" t="s">
        <v>1801</v>
      </c>
      <c r="C34" s="17" t="str">
        <f>HYPERLINK("https://ra-matina.ru/?vendor_code=art_0060")</f>
        <v>https://ra-matina.ru/?vendor_code=art_0060</v>
      </c>
      <c r="D34" s="18" t="s">
        <v>28</v>
      </c>
      <c r="E34" s="19" t="s">
        <v>22</v>
      </c>
      <c r="F34" s="15" t="s">
        <v>15</v>
      </c>
      <c r="G34" s="54" t="s">
        <v>1760</v>
      </c>
    </row>
    <row r="35" ht="13.5" customHeight="1">
      <c r="A35" s="53" t="s">
        <v>1802</v>
      </c>
      <c r="B35" s="16" t="s">
        <v>1803</v>
      </c>
      <c r="C35" s="17" t="str">
        <f>HYPERLINK("https://ra-matina.ru/?vendor_code=art_0032")</f>
        <v>https://ra-matina.ru/?vendor_code=art_0032</v>
      </c>
      <c r="D35" s="18" t="s">
        <v>28</v>
      </c>
      <c r="E35" s="19" t="s">
        <v>22</v>
      </c>
      <c r="F35" s="15" t="s">
        <v>15</v>
      </c>
      <c r="G35" s="20" t="s">
        <v>1760</v>
      </c>
    </row>
    <row r="36" ht="13.5" customHeight="1">
      <c r="A36" s="53" t="s">
        <v>1804</v>
      </c>
      <c r="B36" s="16" t="s">
        <v>1805</v>
      </c>
      <c r="C36" s="17" t="str">
        <f>HYPERLINK("https://ra-matina.ru/?vendor_code=art_0031")</f>
        <v>https://ra-matina.ru/?vendor_code=art_0031</v>
      </c>
      <c r="D36" s="53" t="s">
        <v>18</v>
      </c>
      <c r="E36" s="19" t="s">
        <v>1752</v>
      </c>
      <c r="F36" s="15" t="s">
        <v>15</v>
      </c>
      <c r="G36" s="54" t="s">
        <v>1772</v>
      </c>
    </row>
    <row r="37" ht="13.5" customHeight="1">
      <c r="A37" s="15" t="s">
        <v>1806</v>
      </c>
      <c r="B37" s="52" t="s">
        <v>1807</v>
      </c>
      <c r="C37" s="17" t="str">
        <f>HYPERLINK("https://ra-matina.ru/?vendor_code=KrbpilN007А")</f>
        <v>https://ra-matina.ru/?vendor_code=KrbpilN007А</v>
      </c>
      <c r="D37" s="15" t="s">
        <v>28</v>
      </c>
      <c r="E37" s="19" t="s">
        <v>22</v>
      </c>
      <c r="F37" s="15" t="s">
        <v>40</v>
      </c>
      <c r="G37" s="21">
        <v>12700.0</v>
      </c>
    </row>
    <row r="38" ht="13.5" customHeight="1">
      <c r="A38" s="15" t="s">
        <v>1808</v>
      </c>
      <c r="B38" s="52" t="s">
        <v>1809</v>
      </c>
      <c r="C38" s="17" t="str">
        <f>HYPERLINK("https://ra-matina.ru/?vendor_code=KrbpilN008А")</f>
        <v>https://ra-matina.ru/?vendor_code=KrbpilN008А</v>
      </c>
      <c r="D38" s="15" t="s">
        <v>28</v>
      </c>
      <c r="E38" s="19" t="s">
        <v>22</v>
      </c>
      <c r="F38" s="15" t="s">
        <v>15</v>
      </c>
      <c r="G38" s="21">
        <v>12700.0</v>
      </c>
    </row>
    <row r="39" ht="13.5" customHeight="1">
      <c r="A39" s="53" t="s">
        <v>1810</v>
      </c>
      <c r="B39" s="16" t="s">
        <v>1811</v>
      </c>
      <c r="C39" s="17" t="str">
        <f>HYPERLINK("https://ra-matina.ru/?vendor_code=art_0092")</f>
        <v>https://ra-matina.ru/?vendor_code=art_0092</v>
      </c>
      <c r="D39" s="53" t="s">
        <v>21</v>
      </c>
      <c r="E39" s="19" t="s">
        <v>22</v>
      </c>
      <c r="F39" s="15" t="s">
        <v>15</v>
      </c>
      <c r="G39" s="54" t="s">
        <v>1812</v>
      </c>
    </row>
    <row r="40" ht="13.5" customHeight="1">
      <c r="A40" s="53" t="s">
        <v>1813</v>
      </c>
      <c r="B40" s="16" t="s">
        <v>1814</v>
      </c>
      <c r="C40" s="17" t="str">
        <f>HYPERLINK("https://ra-matina.ru/?vendor_code=art_0036")</f>
        <v>https://ra-matina.ru/?vendor_code=art_0036</v>
      </c>
      <c r="D40" s="18" t="s">
        <v>21</v>
      </c>
      <c r="E40" s="19" t="s">
        <v>22</v>
      </c>
      <c r="F40" s="15" t="s">
        <v>15</v>
      </c>
      <c r="G40" s="54" t="s">
        <v>1774</v>
      </c>
    </row>
    <row r="41" ht="13.5" customHeight="1">
      <c r="A41" s="55" t="s">
        <v>1815</v>
      </c>
      <c r="B41" s="16" t="s">
        <v>1816</v>
      </c>
      <c r="C41" s="17" t="str">
        <f>HYPERLINK("https://ra-matina.ru/?vendor_code=KRD048B1GGPP")</f>
        <v>https://ra-matina.ru/?vendor_code=KRD048B1GGPP</v>
      </c>
      <c r="D41" s="53" t="s">
        <v>21</v>
      </c>
      <c r="E41" s="19" t="s">
        <v>22</v>
      </c>
      <c r="F41" s="15" t="s">
        <v>15</v>
      </c>
      <c r="G41" s="54" t="s">
        <v>1817</v>
      </c>
    </row>
    <row r="42" ht="13.5" customHeight="1">
      <c r="A42" s="15" t="s">
        <v>1818</v>
      </c>
      <c r="B42" s="52" t="s">
        <v>1819</v>
      </c>
      <c r="C42" s="17" t="str">
        <f>HYPERLINK("https://ra-matina.ru/?vendor_code=KrbpilN009А")</f>
        <v>https://ra-matina.ru/?vendor_code=KrbpilN009А</v>
      </c>
      <c r="D42" s="15" t="s">
        <v>28</v>
      </c>
      <c r="E42" s="19" t="s">
        <v>22</v>
      </c>
      <c r="F42" s="15" t="s">
        <v>40</v>
      </c>
      <c r="G42" s="21">
        <v>12700.0</v>
      </c>
    </row>
    <row r="43" ht="13.5" customHeight="1">
      <c r="A43" s="15" t="s">
        <v>1820</v>
      </c>
      <c r="B43" s="52" t="s">
        <v>1819</v>
      </c>
      <c r="C43" s="17" t="str">
        <f>HYPERLINK("https://ra-matina.ru/?vendor_code=KrbpilN010Б")</f>
        <v>https://ra-matina.ru/?vendor_code=KrbpilN010Б</v>
      </c>
      <c r="D43" s="15" t="s">
        <v>21</v>
      </c>
      <c r="E43" s="19" t="s">
        <v>22</v>
      </c>
      <c r="F43" s="15" t="s">
        <v>40</v>
      </c>
      <c r="G43" s="21">
        <v>12700.0</v>
      </c>
    </row>
    <row r="44" ht="13.5" customHeight="1">
      <c r="A44" s="55" t="s">
        <v>1821</v>
      </c>
      <c r="B44" s="16" t="s">
        <v>1822</v>
      </c>
      <c r="C44" s="17" t="str">
        <f>HYPERLINK("https://ra-matina.ru/?vendor_code=KRD055B1GGPP")</f>
        <v>https://ra-matina.ru/?vendor_code=KRD055B1GGPP</v>
      </c>
      <c r="D44" s="53" t="s">
        <v>21</v>
      </c>
      <c r="E44" s="19" t="s">
        <v>22</v>
      </c>
      <c r="F44" s="15" t="s">
        <v>15</v>
      </c>
      <c r="G44" s="54" t="s">
        <v>1817</v>
      </c>
    </row>
    <row r="45" ht="13.5" customHeight="1">
      <c r="A45" s="55" t="s">
        <v>1823</v>
      </c>
      <c r="B45" s="16" t="s">
        <v>1824</v>
      </c>
      <c r="C45" s="17" t="str">
        <f>HYPERLINK("https://ra-matina.ru/?vendor_code=KRD046A1GGPP")</f>
        <v>https://ra-matina.ru/?vendor_code=KRD046A1GGPP</v>
      </c>
      <c r="D45" s="53" t="s">
        <v>28</v>
      </c>
      <c r="E45" s="19" t="s">
        <v>22</v>
      </c>
      <c r="F45" s="15" t="s">
        <v>15</v>
      </c>
      <c r="G45" s="54" t="s">
        <v>1825</v>
      </c>
    </row>
    <row r="46" ht="13.5" customHeight="1">
      <c r="A46" s="55" t="s">
        <v>1826</v>
      </c>
      <c r="B46" s="16" t="s">
        <v>1824</v>
      </c>
      <c r="C46" s="17" t="str">
        <f>HYPERLINK("https://ra-matina.ru/?vendor_code=KRD046B1GGPP")</f>
        <v>https://ra-matina.ru/?vendor_code=KRD046B1GGPP</v>
      </c>
      <c r="D46" s="53" t="s">
        <v>21</v>
      </c>
      <c r="E46" s="19" t="s">
        <v>22</v>
      </c>
      <c r="F46" s="15" t="s">
        <v>15</v>
      </c>
      <c r="G46" s="54" t="s">
        <v>1817</v>
      </c>
    </row>
    <row r="47" ht="13.5" customHeight="1">
      <c r="A47" s="55" t="s">
        <v>1827</v>
      </c>
      <c r="B47" s="16" t="s">
        <v>1828</v>
      </c>
      <c r="C47" s="17" t="str">
        <f>HYPERLINK("https://ra-matina.ru/?vendor_code=KRD059A1GGPP")</f>
        <v>https://ra-matina.ru/?vendor_code=KRD059A1GGPP</v>
      </c>
      <c r="D47" s="53" t="s">
        <v>28</v>
      </c>
      <c r="E47" s="19" t="s">
        <v>22</v>
      </c>
      <c r="F47" s="15" t="s">
        <v>15</v>
      </c>
      <c r="G47" s="54" t="s">
        <v>1825</v>
      </c>
    </row>
    <row r="48" ht="13.5" customHeight="1">
      <c r="A48" s="55" t="s">
        <v>1829</v>
      </c>
      <c r="B48" s="16" t="s">
        <v>1828</v>
      </c>
      <c r="C48" s="17" t="str">
        <f>HYPERLINK("https://ra-matina.ru/?vendor_code=KRD059B1GGPP")</f>
        <v>https://ra-matina.ru/?vendor_code=KRD059B1GGPP</v>
      </c>
      <c r="D48" s="53" t="s">
        <v>21</v>
      </c>
      <c r="E48" s="19" t="s">
        <v>22</v>
      </c>
      <c r="F48" s="15" t="s">
        <v>15</v>
      </c>
      <c r="G48" s="54" t="s">
        <v>1817</v>
      </c>
    </row>
    <row r="49" ht="13.5" customHeight="1">
      <c r="A49" s="55" t="s">
        <v>1830</v>
      </c>
      <c r="B49" s="16" t="s">
        <v>1831</v>
      </c>
      <c r="C49" s="17" t="str">
        <f>HYPERLINK("https://ra-matina.ru/?vendor_code=KRD053B1GGPP")</f>
        <v>https://ra-matina.ru/?vendor_code=KRD053B1GGPP</v>
      </c>
      <c r="D49" s="53" t="s">
        <v>21</v>
      </c>
      <c r="E49" s="19" t="s">
        <v>22</v>
      </c>
      <c r="F49" s="15" t="s">
        <v>15</v>
      </c>
      <c r="G49" s="54" t="s">
        <v>1817</v>
      </c>
    </row>
    <row r="50" ht="13.5" customHeight="1">
      <c r="A50" s="15" t="s">
        <v>1832</v>
      </c>
      <c r="B50" s="52" t="s">
        <v>1833</v>
      </c>
      <c r="C50" s="17" t="str">
        <f>HYPERLINK("https://ra-matina.ru/?vendor_code=KrbpilN011Б")</f>
        <v>https://ra-matina.ru/?vendor_code=KrbpilN011Б</v>
      </c>
      <c r="D50" s="15" t="s">
        <v>21</v>
      </c>
      <c r="E50" s="19" t="s">
        <v>22</v>
      </c>
      <c r="F50" s="15" t="s">
        <v>40</v>
      </c>
      <c r="G50" s="21">
        <v>12700.0</v>
      </c>
    </row>
    <row r="51" ht="13.5" customHeight="1">
      <c r="A51" s="55" t="s">
        <v>1834</v>
      </c>
      <c r="B51" s="16" t="s">
        <v>1833</v>
      </c>
      <c r="C51" s="17" t="str">
        <f>HYPERLINK("https://ra-matina.ru/?vendor_code=KRD056A1GGPP")</f>
        <v>https://ra-matina.ru/?vendor_code=KRD056A1GGPP</v>
      </c>
      <c r="D51" s="53" t="s">
        <v>28</v>
      </c>
      <c r="E51" s="19" t="s">
        <v>22</v>
      </c>
      <c r="F51" s="15" t="s">
        <v>15</v>
      </c>
      <c r="G51" s="54" t="s">
        <v>1825</v>
      </c>
    </row>
    <row r="52" ht="13.5" customHeight="1">
      <c r="A52" s="55" t="s">
        <v>1835</v>
      </c>
      <c r="B52" s="16" t="s">
        <v>1833</v>
      </c>
      <c r="C52" s="17" t="str">
        <f>HYPERLINK("https://ra-matina.ru/?vendor_code=KRD056B1GGPP")</f>
        <v>https://ra-matina.ru/?vendor_code=KRD056B1GGPP</v>
      </c>
      <c r="D52" s="53" t="s">
        <v>21</v>
      </c>
      <c r="E52" s="19" t="s">
        <v>22</v>
      </c>
      <c r="F52" s="15" t="s">
        <v>15</v>
      </c>
      <c r="G52" s="54" t="s">
        <v>1817</v>
      </c>
    </row>
    <row r="53" ht="13.5" customHeight="1">
      <c r="A53" s="15" t="s">
        <v>1836</v>
      </c>
      <c r="B53" s="52" t="s">
        <v>1837</v>
      </c>
      <c r="C53" s="17" t="str">
        <f>HYPERLINK("https://ra-matina.ru/?vendor_code=KrbpilN012А")</f>
        <v>https://ra-matina.ru/?vendor_code=KrbpilN012А</v>
      </c>
      <c r="D53" s="15" t="s">
        <v>28</v>
      </c>
      <c r="E53" s="19" t="s">
        <v>22</v>
      </c>
      <c r="F53" s="15" t="s">
        <v>15</v>
      </c>
      <c r="G53" s="21">
        <v>12700.0</v>
      </c>
    </row>
    <row r="54" ht="13.5" customHeight="1">
      <c r="A54" s="55" t="s">
        <v>1838</v>
      </c>
      <c r="B54" s="16" t="s">
        <v>1839</v>
      </c>
      <c r="C54" s="17" t="str">
        <f>HYPERLINK("https://ra-matina.ru/?vendor_code=KRD057B1GGPP")</f>
        <v>https://ra-matina.ru/?vendor_code=KRD057B1GGPP</v>
      </c>
      <c r="D54" s="53" t="s">
        <v>21</v>
      </c>
      <c r="E54" s="19" t="s">
        <v>22</v>
      </c>
      <c r="F54" s="15" t="s">
        <v>15</v>
      </c>
      <c r="G54" s="54" t="s">
        <v>1817</v>
      </c>
    </row>
    <row r="55" ht="13.5" customHeight="1">
      <c r="A55" s="55" t="s">
        <v>1840</v>
      </c>
      <c r="B55" s="16" t="s">
        <v>1841</v>
      </c>
      <c r="C55" s="17" t="str">
        <f>HYPERLINK("https://ra-matina.ru/?vendor_code=KRD058A1GGPP")</f>
        <v>https://ra-matina.ru/?vendor_code=KRD058A1GGPP</v>
      </c>
      <c r="D55" s="53" t="s">
        <v>28</v>
      </c>
      <c r="E55" s="19" t="s">
        <v>22</v>
      </c>
      <c r="F55" s="15" t="s">
        <v>15</v>
      </c>
      <c r="G55" s="54" t="s">
        <v>1825</v>
      </c>
    </row>
    <row r="56" ht="13.5" customHeight="1">
      <c r="A56" s="53" t="s">
        <v>1842</v>
      </c>
      <c r="B56" s="16" t="s">
        <v>1843</v>
      </c>
      <c r="C56" s="17" t="str">
        <f>HYPERLINK("https://ra-matina.ru/?vendor_code=art_0062")</f>
        <v>https://ra-matina.ru/?vendor_code=art_0062</v>
      </c>
      <c r="D56" s="53" t="s">
        <v>21</v>
      </c>
      <c r="E56" s="19" t="s">
        <v>22</v>
      </c>
      <c r="F56" s="15" t="s">
        <v>15</v>
      </c>
      <c r="G56" s="54" t="s">
        <v>1774</v>
      </c>
    </row>
    <row r="57" ht="13.5" customHeight="1">
      <c r="A57" s="55" t="s">
        <v>1844</v>
      </c>
      <c r="B57" s="16" t="s">
        <v>1845</v>
      </c>
      <c r="C57" s="17" t="str">
        <f>HYPERLINK("https://ra-matina.ru/?vendor_code=KRD060A1GGPP")</f>
        <v>https://ra-matina.ru/?vendor_code=KRD060A1GGPP</v>
      </c>
      <c r="D57" s="53" t="s">
        <v>28</v>
      </c>
      <c r="E57" s="19" t="s">
        <v>22</v>
      </c>
      <c r="F57" s="15" t="s">
        <v>15</v>
      </c>
      <c r="G57" s="54" t="s">
        <v>1749</v>
      </c>
    </row>
    <row r="58" ht="13.5" customHeight="1">
      <c r="A58" s="55" t="s">
        <v>1846</v>
      </c>
      <c r="B58" s="16" t="s">
        <v>1845</v>
      </c>
      <c r="C58" s="17" t="str">
        <f>HYPERLINK("https://ra-matina.ru/?vendor_code=KRD060B1GGPP")</f>
        <v>https://ra-matina.ru/?vendor_code=KRD060B1GGPP</v>
      </c>
      <c r="D58" s="53" t="s">
        <v>21</v>
      </c>
      <c r="E58" s="19" t="s">
        <v>22</v>
      </c>
      <c r="F58" s="15" t="s">
        <v>15</v>
      </c>
      <c r="G58" s="54" t="s">
        <v>1847</v>
      </c>
    </row>
    <row r="59" ht="13.5" customHeight="1">
      <c r="A59" s="55" t="s">
        <v>1848</v>
      </c>
      <c r="B59" s="16" t="s">
        <v>1849</v>
      </c>
      <c r="C59" s="17" t="str">
        <f>HYPERLINK("https://ra-matina.ru/?vendor_code=KRD040B1GGPP")</f>
        <v>https://ra-matina.ru/?vendor_code=KRD040B1GGPP</v>
      </c>
      <c r="D59" s="53" t="s">
        <v>21</v>
      </c>
      <c r="E59" s="19" t="s">
        <v>22</v>
      </c>
      <c r="F59" s="15" t="s">
        <v>15</v>
      </c>
      <c r="G59" s="54" t="s">
        <v>1847</v>
      </c>
    </row>
    <row r="60" ht="13.5" customHeight="1">
      <c r="A60" s="55" t="s">
        <v>1850</v>
      </c>
      <c r="B60" s="16" t="s">
        <v>1851</v>
      </c>
      <c r="C60" s="17" t="str">
        <f>HYPERLINK("https://ra-matina.ru/?vendor_code=KRD041B1GGPP")</f>
        <v>https://ra-matina.ru/?vendor_code=KRD041B1GGPP</v>
      </c>
      <c r="D60" s="53" t="s">
        <v>21</v>
      </c>
      <c r="E60" s="19" t="s">
        <v>22</v>
      </c>
      <c r="F60" s="15" t="s">
        <v>15</v>
      </c>
      <c r="G60" s="54" t="s">
        <v>1847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G1"/>
    <mergeCell ref="B2:G2"/>
    <mergeCell ref="B4:G4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CC"/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57.29"/>
    <col customWidth="1" min="3" max="3" width="30.29"/>
    <col customWidth="1" min="4" max="4" width="8.43"/>
    <col customWidth="1" min="5" max="5" width="16.86"/>
    <col customWidth="1" min="6" max="6" width="11.0"/>
    <col customWidth="1" min="7" max="7" width="9.0"/>
  </cols>
  <sheetData>
    <row r="1" ht="15.0" customHeight="1">
      <c r="A1" s="40"/>
      <c r="B1" s="41" t="s">
        <v>0</v>
      </c>
      <c r="C1" s="7"/>
      <c r="D1" s="7"/>
      <c r="E1" s="7"/>
      <c r="F1" s="7"/>
      <c r="G1" s="7"/>
    </row>
    <row r="2" ht="14.25" customHeight="1">
      <c r="A2" s="42"/>
      <c r="B2" s="6" t="s">
        <v>746</v>
      </c>
      <c r="C2" s="7"/>
      <c r="D2" s="7"/>
      <c r="E2" s="7"/>
      <c r="F2" s="7"/>
      <c r="G2" s="7"/>
    </row>
    <row r="3" ht="14.25" customHeight="1">
      <c r="A3" s="42"/>
      <c r="B3" s="43"/>
      <c r="C3" s="44"/>
      <c r="D3" s="45"/>
      <c r="E3" s="45"/>
      <c r="F3" s="43"/>
      <c r="G3" s="43"/>
    </row>
    <row r="4" ht="67.5" customHeight="1">
      <c r="A4" s="42"/>
      <c r="B4" s="6" t="s">
        <v>1852</v>
      </c>
      <c r="C4" s="7"/>
      <c r="D4" s="7"/>
      <c r="E4" s="7"/>
      <c r="F4" s="7"/>
      <c r="G4" s="7"/>
    </row>
    <row r="5" ht="14.25" customHeight="1">
      <c r="A5" s="174" t="s">
        <v>2</v>
      </c>
      <c r="B5" s="174" t="s">
        <v>3</v>
      </c>
      <c r="C5" s="174" t="s">
        <v>4</v>
      </c>
      <c r="D5" s="174" t="s">
        <v>5</v>
      </c>
      <c r="E5" s="174" t="s">
        <v>6</v>
      </c>
      <c r="F5" s="174" t="s">
        <v>7</v>
      </c>
      <c r="G5" s="174" t="s">
        <v>8</v>
      </c>
    </row>
    <row r="6" ht="21.0" customHeight="1">
      <c r="A6" s="48" t="s">
        <v>1853</v>
      </c>
      <c r="B6" s="49"/>
      <c r="C6" s="49"/>
      <c r="D6" s="49"/>
      <c r="E6" s="49"/>
      <c r="F6" s="49"/>
      <c r="G6" s="50"/>
    </row>
    <row r="7" ht="14.25" customHeight="1">
      <c r="A7" s="14" t="s">
        <v>1854</v>
      </c>
    </row>
    <row r="8" ht="13.5" customHeight="1">
      <c r="A8" s="15" t="s">
        <v>1855</v>
      </c>
      <c r="B8" s="52" t="s">
        <v>1856</v>
      </c>
      <c r="C8" s="17" t="str">
        <f>HYPERLINK("https://ra-matina.ru/?vendor_code=brand011")</f>
        <v>https://ra-matina.ru/?vendor_code=brand011</v>
      </c>
      <c r="D8" s="53" t="s">
        <v>1857</v>
      </c>
      <c r="E8" s="19" t="s">
        <v>1858</v>
      </c>
      <c r="F8" s="15" t="s">
        <v>40</v>
      </c>
      <c r="G8" s="54" t="s">
        <v>1859</v>
      </c>
    </row>
    <row r="9" ht="13.5" customHeight="1">
      <c r="A9" s="15" t="s">
        <v>1860</v>
      </c>
      <c r="B9" s="52" t="s">
        <v>1861</v>
      </c>
      <c r="C9" s="17" t="str">
        <f>HYPERLINK("https://ra-matina.ru/?vendor_code=KrbraN004_1А")</f>
        <v>https://ra-matina.ru/?vendor_code=KrbraN004_1А</v>
      </c>
      <c r="D9" s="15" t="s">
        <v>28</v>
      </c>
      <c r="E9" s="19" t="s">
        <v>1862</v>
      </c>
      <c r="F9" s="15" t="s">
        <v>40</v>
      </c>
      <c r="G9" s="21">
        <v>99000.0</v>
      </c>
    </row>
    <row r="10" ht="13.5" customHeight="1">
      <c r="A10" s="15" t="s">
        <v>1863</v>
      </c>
      <c r="B10" s="52" t="s">
        <v>1864</v>
      </c>
      <c r="C10" s="17" t="str">
        <f>HYPERLINK("https://ra-matina.ru/?vendor_code=KrbraN004_1Б")</f>
        <v>https://ra-matina.ru/?vendor_code=KrbraN004_1Б</v>
      </c>
      <c r="D10" s="15" t="s">
        <v>21</v>
      </c>
      <c r="E10" s="19" t="s">
        <v>1862</v>
      </c>
      <c r="F10" s="15" t="s">
        <v>40</v>
      </c>
      <c r="G10" s="21">
        <v>150000.0</v>
      </c>
    </row>
    <row r="11" ht="13.5" customHeight="1">
      <c r="A11" s="15" t="s">
        <v>1865</v>
      </c>
      <c r="B11" s="52" t="s">
        <v>1866</v>
      </c>
      <c r="C11" s="17" t="str">
        <f>HYPERLINK("https://ra-matina.ru/?vendor_code=brand003")</f>
        <v>https://ra-matina.ru/?vendor_code=brand003</v>
      </c>
      <c r="D11" s="53" t="s">
        <v>423</v>
      </c>
      <c r="E11" s="19" t="s">
        <v>1867</v>
      </c>
      <c r="F11" s="15" t="s">
        <v>40</v>
      </c>
      <c r="G11" s="54" t="s">
        <v>1868</v>
      </c>
    </row>
    <row r="12" ht="13.5" customHeight="1">
      <c r="A12" s="15" t="s">
        <v>1869</v>
      </c>
      <c r="B12" s="52" t="s">
        <v>1870</v>
      </c>
      <c r="C12" s="17" t="str">
        <f>HYPERLINK("https://ra-matina.ru/?vendor_code=brand004")</f>
        <v>https://ra-matina.ru/?vendor_code=brand004</v>
      </c>
      <c r="D12" s="53" t="s">
        <v>1857</v>
      </c>
      <c r="E12" s="19" t="s">
        <v>1867</v>
      </c>
      <c r="F12" s="15" t="s">
        <v>40</v>
      </c>
      <c r="G12" s="54" t="s">
        <v>1868</v>
      </c>
    </row>
    <row r="13" ht="13.5" customHeight="1">
      <c r="A13" s="15" t="s">
        <v>1871</v>
      </c>
      <c r="B13" s="52" t="s">
        <v>1872</v>
      </c>
      <c r="C13" s="17" t="str">
        <f>HYPERLINK("https://ra-matina.ru/?vendor_code=brand006")</f>
        <v>https://ra-matina.ru/?vendor_code=brand006</v>
      </c>
      <c r="D13" s="53" t="s">
        <v>1857</v>
      </c>
      <c r="E13" s="19" t="s">
        <v>1867</v>
      </c>
      <c r="F13" s="15" t="s">
        <v>40</v>
      </c>
      <c r="G13" s="54" t="s">
        <v>1868</v>
      </c>
    </row>
    <row r="14" ht="13.5" customHeight="1">
      <c r="A14" s="15" t="s">
        <v>1873</v>
      </c>
      <c r="B14" s="52" t="s">
        <v>1874</v>
      </c>
      <c r="C14" s="17" t="str">
        <f>HYPERLINK("https://ra-matina.ru/?vendor_code=brand005")</f>
        <v>https://ra-matina.ru/?vendor_code=brand005</v>
      </c>
      <c r="D14" s="53" t="s">
        <v>423</v>
      </c>
      <c r="E14" s="19" t="s">
        <v>1867</v>
      </c>
      <c r="F14" s="15" t="s">
        <v>40</v>
      </c>
      <c r="G14" s="54" t="s">
        <v>1868</v>
      </c>
    </row>
    <row r="15" ht="13.5" customHeight="1">
      <c r="A15" s="15" t="s">
        <v>1875</v>
      </c>
      <c r="B15" s="52" t="s">
        <v>1876</v>
      </c>
      <c r="C15" s="17" t="str">
        <f>HYPERLINK("https://ra-matina.ru/?vendor_code=KrbraN004С1")</f>
        <v>https://ra-matina.ru/?vendor_code=KrbraN004С1</v>
      </c>
      <c r="D15" s="15" t="s">
        <v>1376</v>
      </c>
      <c r="E15" s="19" t="s">
        <v>1877</v>
      </c>
      <c r="F15" s="15" t="s">
        <v>40</v>
      </c>
      <c r="G15" s="21">
        <v>130000.0</v>
      </c>
    </row>
    <row r="16" ht="13.5" customHeight="1">
      <c r="A16" s="15" t="s">
        <v>1878</v>
      </c>
      <c r="B16" s="52" t="s">
        <v>1879</v>
      </c>
      <c r="C16" s="17" t="str">
        <f>HYPERLINK("https://ra-matina.ru/?vendor_code=brand010")</f>
        <v>https://ra-matina.ru/?vendor_code=brand010</v>
      </c>
      <c r="D16" s="53" t="s">
        <v>1857</v>
      </c>
      <c r="E16" s="19" t="s">
        <v>1867</v>
      </c>
      <c r="F16" s="15" t="s">
        <v>40</v>
      </c>
      <c r="G16" s="54" t="s">
        <v>1868</v>
      </c>
    </row>
    <row r="17" ht="13.5" customHeight="1">
      <c r="A17" s="15" t="s">
        <v>1880</v>
      </c>
      <c r="B17" s="52" t="s">
        <v>1881</v>
      </c>
      <c r="C17" s="17" t="str">
        <f>HYPERLINK("https://ra-matina.ru/?vendor_code=brand009")</f>
        <v>https://ra-matina.ru/?vendor_code=brand009</v>
      </c>
      <c r="D17" s="53" t="s">
        <v>1857</v>
      </c>
      <c r="E17" s="19" t="s">
        <v>1867</v>
      </c>
      <c r="F17" s="15" t="s">
        <v>40</v>
      </c>
      <c r="G17" s="54" t="s">
        <v>1868</v>
      </c>
    </row>
    <row r="18" ht="13.5" customHeight="1">
      <c r="A18" s="15" t="s">
        <v>1882</v>
      </c>
      <c r="B18" s="52" t="s">
        <v>1883</v>
      </c>
      <c r="C18" s="17" t="str">
        <f>HYPERLINK("https://ra-matina.ru/?vendor_code=KrbraN004С0")</f>
        <v>https://ra-matina.ru/?vendor_code=KrbraN004С0</v>
      </c>
      <c r="D18" s="15" t="s">
        <v>1376</v>
      </c>
      <c r="E18" s="19" t="s">
        <v>1884</v>
      </c>
      <c r="F18" s="15" t="s">
        <v>40</v>
      </c>
      <c r="G18" s="21">
        <v>100000.0</v>
      </c>
    </row>
    <row r="19" ht="13.5" customHeight="1">
      <c r="A19" s="15" t="s">
        <v>1885</v>
      </c>
      <c r="B19" s="52" t="s">
        <v>1886</v>
      </c>
      <c r="C19" s="17" t="str">
        <f>HYPERLINK("https://ra-matina.ru/?vendor_code=brand001")</f>
        <v>https://ra-matina.ru/?vendor_code=brand001</v>
      </c>
      <c r="D19" s="53" t="s">
        <v>423</v>
      </c>
      <c r="E19" s="19" t="s">
        <v>1887</v>
      </c>
      <c r="F19" s="15" t="s">
        <v>40</v>
      </c>
      <c r="G19" s="54" t="s">
        <v>1888</v>
      </c>
    </row>
    <row r="20" ht="13.5" customHeight="1">
      <c r="A20" s="15" t="s">
        <v>1889</v>
      </c>
      <c r="B20" s="52" t="s">
        <v>1890</v>
      </c>
      <c r="C20" s="17" t="str">
        <f>HYPERLINK("https://ra-matina.ru/?vendor_code=brand002")</f>
        <v>https://ra-matina.ru/?vendor_code=brand002</v>
      </c>
      <c r="D20" s="53" t="s">
        <v>423</v>
      </c>
      <c r="E20" s="19" t="s">
        <v>1887</v>
      </c>
      <c r="F20" s="15" t="s">
        <v>40</v>
      </c>
      <c r="G20" s="54" t="s">
        <v>1888</v>
      </c>
    </row>
    <row r="21" ht="13.5" customHeight="1">
      <c r="A21" s="15" t="s">
        <v>1891</v>
      </c>
      <c r="B21" s="52" t="s">
        <v>1892</v>
      </c>
      <c r="C21" s="17" t="str">
        <f>HYPERLINK("https://ra-matina.ru/?vendor_code=KrbraN006_1А0")</f>
        <v>https://ra-matina.ru/?vendor_code=KrbraN006_1А0</v>
      </c>
      <c r="D21" s="15" t="s">
        <v>28</v>
      </c>
      <c r="E21" s="19" t="s">
        <v>1893</v>
      </c>
      <c r="F21" s="15" t="s">
        <v>40</v>
      </c>
      <c r="G21" s="21">
        <v>35000.0</v>
      </c>
    </row>
    <row r="22" ht="13.5" customHeight="1">
      <c r="A22" s="15" t="s">
        <v>1894</v>
      </c>
      <c r="B22" s="52" t="s">
        <v>1895</v>
      </c>
      <c r="C22" s="17" t="str">
        <f>HYPERLINK("https://ra-matina.ru/?vendor_code=KrbraN011Б0")</f>
        <v>https://ra-matina.ru/?vendor_code=KrbraN011Б0</v>
      </c>
      <c r="D22" s="15" t="s">
        <v>21</v>
      </c>
      <c r="E22" s="19" t="s">
        <v>1858</v>
      </c>
      <c r="F22" s="15" t="s">
        <v>40</v>
      </c>
      <c r="G22" s="21">
        <v>120000.0</v>
      </c>
    </row>
    <row r="23" ht="13.5" customHeight="1">
      <c r="A23" s="15" t="s">
        <v>1896</v>
      </c>
      <c r="B23" s="52" t="s">
        <v>1897</v>
      </c>
      <c r="C23" s="17" t="str">
        <f>HYPERLINK("https://ra-matina.ru/?vendor_code=KrbraN013А")</f>
        <v>https://ra-matina.ru/?vendor_code=KrbraN013А</v>
      </c>
      <c r="D23" s="15" t="s">
        <v>28</v>
      </c>
      <c r="E23" s="19" t="s">
        <v>1898</v>
      </c>
      <c r="F23" s="15" t="s">
        <v>40</v>
      </c>
      <c r="G23" s="21">
        <v>145000.0</v>
      </c>
    </row>
    <row r="24" ht="13.5" customHeight="1">
      <c r="A24" s="15" t="s">
        <v>1899</v>
      </c>
      <c r="B24" s="52" t="s">
        <v>1900</v>
      </c>
      <c r="C24" s="17" t="str">
        <f>HYPERLINK("https://ra-matina.ru/?vendor_code=brand008")</f>
        <v>https://ra-matina.ru/?vendor_code=brand008</v>
      </c>
      <c r="D24" s="53" t="s">
        <v>423</v>
      </c>
      <c r="E24" s="19" t="s">
        <v>1901</v>
      </c>
      <c r="F24" s="15" t="s">
        <v>40</v>
      </c>
      <c r="G24" s="54" t="s">
        <v>1902</v>
      </c>
    </row>
    <row r="25" ht="13.5" customHeight="1">
      <c r="A25" s="15" t="s">
        <v>1903</v>
      </c>
      <c r="B25" s="52" t="s">
        <v>1904</v>
      </c>
      <c r="C25" s="17" t="str">
        <f>HYPERLINK("https://ra-matina.ru/?vendor_code=brand007")</f>
        <v>https://ra-matina.ru/?vendor_code=brand007</v>
      </c>
      <c r="D25" s="53" t="s">
        <v>1857</v>
      </c>
      <c r="E25" s="19" t="s">
        <v>1905</v>
      </c>
      <c r="F25" s="15" t="s">
        <v>40</v>
      </c>
      <c r="G25" s="54" t="s">
        <v>1868</v>
      </c>
    </row>
    <row r="26" ht="13.5" customHeight="1">
      <c r="A26" s="15" t="s">
        <v>1906</v>
      </c>
      <c r="B26" s="52" t="s">
        <v>1907</v>
      </c>
      <c r="C26" s="17" t="str">
        <f>HYPERLINK("https://ra-matina.ru/?vendor_code=KrbraN018А")</f>
        <v>https://ra-matina.ru/?vendor_code=KrbraN018А</v>
      </c>
      <c r="D26" s="15" t="s">
        <v>28</v>
      </c>
      <c r="E26" s="19" t="s">
        <v>1908</v>
      </c>
      <c r="F26" s="15" t="s">
        <v>40</v>
      </c>
      <c r="G26" s="21">
        <v>35000.0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G1"/>
    <mergeCell ref="B2:G2"/>
    <mergeCell ref="B4:G4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70.14"/>
    <col customWidth="1" min="3" max="3" width="42.86"/>
    <col customWidth="1" min="4" max="4" width="9.0"/>
    <col customWidth="1" min="5" max="5" width="19.86"/>
    <col customWidth="1" min="6" max="6" width="10.43"/>
    <col customWidth="1" min="7" max="7" width="11.14"/>
  </cols>
  <sheetData>
    <row r="1" ht="15.0" customHeight="1">
      <c r="A1" s="40"/>
      <c r="B1" s="41" t="s">
        <v>0</v>
      </c>
      <c r="C1" s="7"/>
      <c r="D1" s="7"/>
      <c r="E1" s="7"/>
      <c r="F1" s="7"/>
      <c r="G1" s="7"/>
    </row>
    <row r="2" ht="14.25" customHeight="1">
      <c r="A2" s="42"/>
      <c r="B2" s="6" t="s">
        <v>746</v>
      </c>
      <c r="C2" s="7"/>
      <c r="D2" s="7"/>
      <c r="E2" s="7"/>
      <c r="F2" s="7"/>
      <c r="G2" s="7"/>
    </row>
    <row r="3" ht="14.25" customHeight="1">
      <c r="A3" s="42"/>
      <c r="B3" s="43"/>
      <c r="C3" s="44"/>
      <c r="D3" s="45"/>
      <c r="E3" s="45"/>
      <c r="F3" s="43"/>
      <c r="G3" s="43"/>
    </row>
    <row r="4" ht="66.75" customHeight="1">
      <c r="A4" s="42"/>
      <c r="B4" s="6" t="s">
        <v>747</v>
      </c>
      <c r="C4" s="7"/>
      <c r="D4" s="7"/>
      <c r="E4" s="7"/>
      <c r="F4" s="7"/>
      <c r="G4" s="7"/>
    </row>
    <row r="5" ht="14.25" customHeight="1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ht="21.0" customHeight="1">
      <c r="A6" s="57" t="s">
        <v>1909</v>
      </c>
      <c r="B6" s="12"/>
      <c r="C6" s="12"/>
      <c r="D6" s="12"/>
      <c r="E6" s="12"/>
      <c r="F6" s="12"/>
      <c r="G6" s="13"/>
    </row>
    <row r="7" ht="14.25" customHeight="1">
      <c r="A7" s="14" t="s">
        <v>1910</v>
      </c>
    </row>
    <row r="8" ht="13.5" customHeight="1">
      <c r="A8" s="53" t="s">
        <v>1911</v>
      </c>
      <c r="B8" s="175" t="s">
        <v>1912</v>
      </c>
      <c r="C8" s="176" t="str">
        <f>HYPERLINK("https://ra-matina.ru/?vendor_code=TMB016")</f>
        <v>https://ra-matina.ru/?vendor_code=TMB016</v>
      </c>
      <c r="D8" s="177" t="s">
        <v>28</v>
      </c>
      <c r="E8" s="142" t="s">
        <v>1913</v>
      </c>
      <c r="F8" s="178" t="s">
        <v>15</v>
      </c>
      <c r="G8" s="179" t="s">
        <v>1914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ht="13.5" customHeight="1">
      <c r="A9" s="18" t="s">
        <v>1915</v>
      </c>
      <c r="B9" s="153" t="s">
        <v>1912</v>
      </c>
      <c r="C9" s="17" t="str">
        <f>HYPERLINK("https://ra-matina.ru/?vendor_code=TMB017")</f>
        <v>https://ra-matina.ru/?vendor_code=TMB017</v>
      </c>
      <c r="D9" s="53" t="s">
        <v>1916</v>
      </c>
      <c r="E9" s="22" t="s">
        <v>1913</v>
      </c>
      <c r="F9" s="180" t="s">
        <v>15</v>
      </c>
      <c r="G9" s="54" t="s">
        <v>1914</v>
      </c>
    </row>
    <row r="10" ht="13.5" customHeight="1">
      <c r="A10" s="172" t="s">
        <v>1917</v>
      </c>
      <c r="B10" s="153" t="s">
        <v>1918</v>
      </c>
      <c r="C10" s="17" t="str">
        <f>HYPERLINK("https://ra-matina.ru/?vendor_code=TMB014")</f>
        <v>https://ra-matina.ru/?vendor_code=TMB014</v>
      </c>
      <c r="D10" s="53" t="s">
        <v>28</v>
      </c>
      <c r="E10" s="22" t="s">
        <v>1913</v>
      </c>
      <c r="F10" s="172" t="s">
        <v>15</v>
      </c>
      <c r="G10" s="54" t="s">
        <v>1914</v>
      </c>
    </row>
    <row r="11" ht="13.5" customHeight="1">
      <c r="A11" s="172" t="s">
        <v>1919</v>
      </c>
      <c r="B11" s="153" t="s">
        <v>1918</v>
      </c>
      <c r="C11" s="17" t="str">
        <f>HYPERLINK("https://ra-matina.ru/?vendor_code=TMB015")</f>
        <v>https://ra-matina.ru/?vendor_code=TMB015</v>
      </c>
      <c r="D11" s="53" t="s">
        <v>1916</v>
      </c>
      <c r="E11" s="22" t="s">
        <v>1913</v>
      </c>
      <c r="F11" s="172" t="s">
        <v>15</v>
      </c>
      <c r="G11" s="54" t="s">
        <v>1914</v>
      </c>
    </row>
    <row r="12" ht="13.5" customHeight="1">
      <c r="A12" s="181" t="s">
        <v>1920</v>
      </c>
      <c r="B12" s="123" t="s">
        <v>1921</v>
      </c>
      <c r="C12" s="17" t="str">
        <f>HYPERLINK("https://ra-matina.ru/?vendor_code=KRD-063")</f>
        <v>https://ra-matina.ru/?vendor_code=KRD-063</v>
      </c>
      <c r="D12" s="182" t="s">
        <v>28</v>
      </c>
      <c r="E12" s="22" t="s">
        <v>1913</v>
      </c>
      <c r="F12" s="172" t="s">
        <v>15</v>
      </c>
      <c r="G12" s="183" t="s">
        <v>1922</v>
      </c>
    </row>
    <row r="13" ht="13.5" customHeight="1">
      <c r="A13" s="181" t="s">
        <v>1923</v>
      </c>
      <c r="B13" s="123" t="s">
        <v>1921</v>
      </c>
      <c r="C13" s="17" t="str">
        <f>HYPERLINK("https://ra-matina.ru/?vendor_code=KRD-063-1")</f>
        <v>https://ra-matina.ru/?vendor_code=KRD-063-1</v>
      </c>
      <c r="D13" s="182" t="s">
        <v>21</v>
      </c>
      <c r="E13" s="22" t="s">
        <v>1913</v>
      </c>
      <c r="F13" s="172" t="s">
        <v>15</v>
      </c>
      <c r="G13" s="183" t="s">
        <v>1922</v>
      </c>
    </row>
    <row r="14" ht="13.5" customHeight="1">
      <c r="A14" s="172" t="s">
        <v>1924</v>
      </c>
      <c r="B14" s="153" t="s">
        <v>1925</v>
      </c>
      <c r="C14" s="17" t="str">
        <f>HYPERLINK("https://ra-matina.ru/?vendor_code=TMB020")</f>
        <v>https://ra-matina.ru/?vendor_code=TMB020</v>
      </c>
      <c r="D14" s="53" t="s">
        <v>28</v>
      </c>
      <c r="E14" s="22" t="s">
        <v>1913</v>
      </c>
      <c r="F14" s="172" t="s">
        <v>15</v>
      </c>
      <c r="G14" s="20" t="s">
        <v>1926</v>
      </c>
    </row>
    <row r="15" ht="13.5" customHeight="1">
      <c r="A15" s="172" t="s">
        <v>1927</v>
      </c>
      <c r="B15" s="153" t="s">
        <v>1925</v>
      </c>
      <c r="C15" s="17" t="str">
        <f>HYPERLINK("https://ra-matina.ru/?vendor_code=TMB021")</f>
        <v>https://ra-matina.ru/?vendor_code=TMB021</v>
      </c>
      <c r="D15" s="53" t="s">
        <v>1916</v>
      </c>
      <c r="E15" s="22" t="s">
        <v>1913</v>
      </c>
      <c r="F15" s="172" t="s">
        <v>15</v>
      </c>
      <c r="G15" s="20" t="s">
        <v>1926</v>
      </c>
    </row>
    <row r="16" ht="13.5" customHeight="1">
      <c r="A16" s="172" t="s">
        <v>1928</v>
      </c>
      <c r="B16" s="136" t="s">
        <v>1929</v>
      </c>
      <c r="C16" s="17" t="str">
        <f>HYPERLINK("https://ra-matina.ru/?vendor_code=art_0029")</f>
        <v>https://ra-matina.ru/?vendor_code=art_0029</v>
      </c>
      <c r="D16" s="15" t="s">
        <v>21</v>
      </c>
      <c r="E16" s="184" t="s">
        <v>1930</v>
      </c>
      <c r="F16" s="172" t="s">
        <v>15</v>
      </c>
      <c r="G16" s="21">
        <v>16000.0</v>
      </c>
    </row>
    <row r="17" ht="13.5" customHeight="1">
      <c r="A17" s="181" t="s">
        <v>1931</v>
      </c>
      <c r="B17" s="123" t="s">
        <v>1932</v>
      </c>
      <c r="C17" s="17" t="str">
        <f>HYPERLINK("https://ra-matina.ru/?vendor_code=KRD-081")</f>
        <v>https://ra-matina.ru/?vendor_code=KRD-081</v>
      </c>
      <c r="D17" s="182" t="s">
        <v>28</v>
      </c>
      <c r="E17" s="22" t="s">
        <v>1913</v>
      </c>
      <c r="F17" s="172" t="s">
        <v>15</v>
      </c>
      <c r="G17" s="183" t="s">
        <v>1933</v>
      </c>
    </row>
    <row r="18" ht="13.5" customHeight="1">
      <c r="A18" s="181" t="s">
        <v>1934</v>
      </c>
      <c r="B18" s="123" t="s">
        <v>1932</v>
      </c>
      <c r="C18" s="17" t="str">
        <f>HYPERLINK("https://ra-matina.ru/?vendor_code=KRD-081-1")</f>
        <v>https://ra-matina.ru/?vendor_code=KRD-081-1</v>
      </c>
      <c r="D18" s="182" t="s">
        <v>21</v>
      </c>
      <c r="E18" s="22" t="s">
        <v>1913</v>
      </c>
      <c r="F18" s="172" t="s">
        <v>15</v>
      </c>
      <c r="G18" s="183" t="s">
        <v>1935</v>
      </c>
    </row>
    <row r="19" ht="13.5" customHeight="1">
      <c r="A19" s="172" t="s">
        <v>1936</v>
      </c>
      <c r="B19" s="136" t="s">
        <v>1937</v>
      </c>
      <c r="C19" s="17" t="str">
        <f>HYPERLINK("https://ra-matina.ru/?vendor_code=art_0004")</f>
        <v>https://ra-matina.ru/?vendor_code=art_0004</v>
      </c>
      <c r="D19" s="15" t="s">
        <v>28</v>
      </c>
      <c r="E19" s="184" t="s">
        <v>1930</v>
      </c>
      <c r="F19" s="172" t="s">
        <v>15</v>
      </c>
      <c r="G19" s="21">
        <v>16700.0</v>
      </c>
    </row>
    <row r="20" ht="13.5" customHeight="1">
      <c r="A20" s="172" t="s">
        <v>1938</v>
      </c>
      <c r="B20" s="136" t="s">
        <v>1937</v>
      </c>
      <c r="C20" s="17" t="str">
        <f>HYPERLINK("https://ra-matina.ru/?vendor_code=art_0005")</f>
        <v>https://ra-matina.ru/?vendor_code=art_0005</v>
      </c>
      <c r="D20" s="15" t="s">
        <v>21</v>
      </c>
      <c r="E20" s="184" t="s">
        <v>1930</v>
      </c>
      <c r="F20" s="172" t="s">
        <v>15</v>
      </c>
      <c r="G20" s="21">
        <v>16000.0</v>
      </c>
    </row>
    <row r="21" ht="13.5" customHeight="1">
      <c r="A21" s="172" t="s">
        <v>1939</v>
      </c>
      <c r="B21" s="136" t="s">
        <v>1937</v>
      </c>
      <c r="C21" s="17" t="str">
        <f>HYPERLINK("https://ra-matina.ru/?vendor_code=art_0006")</f>
        <v>https://ra-matina.ru/?vendor_code=art_0006</v>
      </c>
      <c r="D21" s="15" t="s">
        <v>1376</v>
      </c>
      <c r="E21" s="184" t="s">
        <v>1930</v>
      </c>
      <c r="F21" s="172" t="s">
        <v>15</v>
      </c>
      <c r="G21" s="21">
        <v>15300.0</v>
      </c>
    </row>
    <row r="22" ht="13.5" customHeight="1">
      <c r="A22" s="172" t="s">
        <v>1940</v>
      </c>
      <c r="B22" s="136" t="s">
        <v>1941</v>
      </c>
      <c r="C22" s="17" t="str">
        <f>HYPERLINK("https://ra-matina.ru/?vendor_code=art_0007")</f>
        <v>https://ra-matina.ru/?vendor_code=art_0007</v>
      </c>
      <c r="D22" s="15" t="s">
        <v>28</v>
      </c>
      <c r="E22" s="184" t="s">
        <v>1930</v>
      </c>
      <c r="F22" s="172" t="s">
        <v>15</v>
      </c>
      <c r="G22" s="21">
        <v>16700.0</v>
      </c>
    </row>
    <row r="23" ht="13.5" customHeight="1">
      <c r="A23" s="172" t="s">
        <v>1942</v>
      </c>
      <c r="B23" s="136" t="s">
        <v>1941</v>
      </c>
      <c r="C23" s="17" t="str">
        <f>HYPERLINK("https://ra-matina.ru/?vendor_code=art_0008")</f>
        <v>https://ra-matina.ru/?vendor_code=art_0008</v>
      </c>
      <c r="D23" s="15" t="s">
        <v>21</v>
      </c>
      <c r="E23" s="184" t="s">
        <v>1930</v>
      </c>
      <c r="F23" s="172" t="s">
        <v>15</v>
      </c>
      <c r="G23" s="21">
        <v>16000.0</v>
      </c>
    </row>
    <row r="24" ht="13.5" customHeight="1">
      <c r="A24" s="53" t="s">
        <v>1943</v>
      </c>
      <c r="B24" s="136" t="s">
        <v>1941</v>
      </c>
      <c r="C24" s="17" t="str">
        <f>HYPERLINK("https://ra-matina.ru/?vendor_code=art_0009")</f>
        <v>https://ra-matina.ru/?vendor_code=art_0009</v>
      </c>
      <c r="D24" s="15" t="s">
        <v>1376</v>
      </c>
      <c r="E24" s="184" t="s">
        <v>1930</v>
      </c>
      <c r="F24" s="172" t="s">
        <v>15</v>
      </c>
      <c r="G24" s="21">
        <v>15300.0</v>
      </c>
    </row>
    <row r="25" ht="13.5" customHeight="1">
      <c r="A25" s="185" t="s">
        <v>1944</v>
      </c>
      <c r="B25" s="16" t="s">
        <v>1945</v>
      </c>
      <c r="C25" s="17" t="str">
        <f>HYPERLINK("https://ra-matina.ru/?vendor_code=KRD013A1GGPS")</f>
        <v>https://ra-matina.ru/?vendor_code=KRD013A1GGPS</v>
      </c>
      <c r="D25" s="15" t="s">
        <v>28</v>
      </c>
      <c r="E25" s="184" t="s">
        <v>1930</v>
      </c>
      <c r="F25" s="172" t="s">
        <v>15</v>
      </c>
      <c r="G25" s="21" t="s">
        <v>1946</v>
      </c>
    </row>
    <row r="26" ht="13.5" customHeight="1">
      <c r="A26" s="185" t="s">
        <v>1947</v>
      </c>
      <c r="B26" s="16" t="s">
        <v>1945</v>
      </c>
      <c r="C26" s="17" t="str">
        <f>HYPERLINK("https://ra-matina.ru/?vendor_code=KRD013C1GGPS")</f>
        <v>https://ra-matina.ru/?vendor_code=KRD013C1GGPS</v>
      </c>
      <c r="D26" s="15" t="s">
        <v>1376</v>
      </c>
      <c r="E26" s="184" t="s">
        <v>1930</v>
      </c>
      <c r="F26" s="186" t="s">
        <v>15</v>
      </c>
      <c r="G26" s="21" t="s">
        <v>1948</v>
      </c>
    </row>
    <row r="27" ht="13.5" customHeight="1">
      <c r="A27" s="181" t="s">
        <v>1949</v>
      </c>
      <c r="B27" s="123" t="s">
        <v>1950</v>
      </c>
      <c r="C27" s="17" t="str">
        <f>HYPERLINK("https://ra-matina.ru/?vendor_code=KRD-062")</f>
        <v>https://ra-matina.ru/?vendor_code=KRD-062</v>
      </c>
      <c r="D27" s="182" t="s">
        <v>21</v>
      </c>
      <c r="E27" s="22" t="s">
        <v>1913</v>
      </c>
      <c r="F27" s="172" t="s">
        <v>15</v>
      </c>
      <c r="G27" s="183" t="s">
        <v>1951</v>
      </c>
    </row>
    <row r="28" ht="13.5" customHeight="1">
      <c r="A28" s="181" t="s">
        <v>1952</v>
      </c>
      <c r="B28" s="123" t="s">
        <v>1950</v>
      </c>
      <c r="C28" s="17" t="str">
        <f>HYPERLINK("https://ra-matina.ru/?vendor_code=KRD-062-1")</f>
        <v>https://ra-matina.ru/?vendor_code=KRD-062-1</v>
      </c>
      <c r="D28" s="182" t="s">
        <v>1376</v>
      </c>
      <c r="E28" s="22" t="s">
        <v>1913</v>
      </c>
      <c r="F28" s="172" t="s">
        <v>15</v>
      </c>
      <c r="G28" s="183" t="s">
        <v>1935</v>
      </c>
    </row>
    <row r="29" ht="13.5" customHeight="1">
      <c r="A29" s="181" t="s">
        <v>1953</v>
      </c>
      <c r="B29" s="123" t="s">
        <v>1954</v>
      </c>
      <c r="C29" s="17" t="str">
        <f>HYPERLINK("https://ra-matina.ru/?vendor_code=KRD-059")</f>
        <v>https://ra-matina.ru/?vendor_code=KRD-059</v>
      </c>
      <c r="D29" s="182" t="s">
        <v>28</v>
      </c>
      <c r="E29" s="22" t="s">
        <v>1913</v>
      </c>
      <c r="F29" s="172" t="s">
        <v>15</v>
      </c>
      <c r="G29" s="183" t="s">
        <v>1955</v>
      </c>
    </row>
    <row r="30" ht="13.5" customHeight="1">
      <c r="A30" s="181" t="s">
        <v>1956</v>
      </c>
      <c r="B30" s="123" t="s">
        <v>1954</v>
      </c>
      <c r="C30" s="17" t="str">
        <f>HYPERLINK("https://ra-matina.ru/?vendor_code=KRD-059-1")</f>
        <v>https://ra-matina.ru/?vendor_code=KRD-059-1</v>
      </c>
      <c r="D30" s="182" t="s">
        <v>1376</v>
      </c>
      <c r="E30" s="22" t="s">
        <v>1913</v>
      </c>
      <c r="F30" s="172" t="s">
        <v>15</v>
      </c>
      <c r="G30" s="183" t="s">
        <v>1957</v>
      </c>
    </row>
    <row r="31" ht="13.5" customHeight="1">
      <c r="A31" s="181" t="s">
        <v>1958</v>
      </c>
      <c r="B31" s="123" t="s">
        <v>1959</v>
      </c>
      <c r="C31" s="17" t="str">
        <f>HYPERLINK("https://ra-matina.ru/?vendor_code=KRD-060")</f>
        <v>https://ra-matina.ru/?vendor_code=KRD-060</v>
      </c>
      <c r="D31" s="182" t="s">
        <v>1376</v>
      </c>
      <c r="E31" s="22" t="s">
        <v>1913</v>
      </c>
      <c r="F31" s="172" t="s">
        <v>15</v>
      </c>
      <c r="G31" s="183" t="s">
        <v>1957</v>
      </c>
    </row>
    <row r="32" ht="13.5" customHeight="1">
      <c r="A32" s="181" t="s">
        <v>1960</v>
      </c>
      <c r="B32" s="123" t="s">
        <v>1961</v>
      </c>
      <c r="C32" s="17" t="str">
        <f>HYPERLINK("https://ra-matina.ru/?vendor_code=KRD-074")</f>
        <v>https://ra-matina.ru/?vendor_code=KRD-074</v>
      </c>
      <c r="D32" s="182" t="s">
        <v>28</v>
      </c>
      <c r="E32" s="22" t="s">
        <v>1913</v>
      </c>
      <c r="F32" s="172" t="s">
        <v>15</v>
      </c>
      <c r="G32" s="183" t="s">
        <v>1955</v>
      </c>
    </row>
    <row r="33" ht="13.5" customHeight="1">
      <c r="A33" s="181" t="s">
        <v>1962</v>
      </c>
      <c r="B33" s="123" t="s">
        <v>1963</v>
      </c>
      <c r="C33" s="17" t="str">
        <f>HYPERLINK("https://ra-matina.ru/?vendor_code=KRD-083")</f>
        <v>https://ra-matina.ru/?vendor_code=KRD-083</v>
      </c>
      <c r="D33" s="182" t="s">
        <v>21</v>
      </c>
      <c r="E33" s="22" t="s">
        <v>1913</v>
      </c>
      <c r="F33" s="172" t="s">
        <v>15</v>
      </c>
      <c r="G33" s="183" t="s">
        <v>1964</v>
      </c>
    </row>
    <row r="34" ht="13.5" customHeight="1">
      <c r="A34" s="172" t="s">
        <v>1965</v>
      </c>
      <c r="B34" s="153" t="s">
        <v>1966</v>
      </c>
      <c r="C34" s="17" t="str">
        <f>HYPERLINK("https://ra-matina.ru/?vendor_code=TMB007")</f>
        <v>https://ra-matina.ru/?vendor_code=TMB007</v>
      </c>
      <c r="D34" s="53" t="s">
        <v>1376</v>
      </c>
      <c r="E34" s="22" t="s">
        <v>1913</v>
      </c>
      <c r="F34" s="172" t="s">
        <v>15</v>
      </c>
      <c r="G34" s="54" t="s">
        <v>1914</v>
      </c>
    </row>
    <row r="35" ht="13.5" customHeight="1">
      <c r="A35" s="172" t="s">
        <v>1967</v>
      </c>
      <c r="B35" s="153" t="s">
        <v>1968</v>
      </c>
      <c r="C35" s="17" t="str">
        <f>HYPERLINK("https://ra-matina.ru/?vendor_code=TMB009")</f>
        <v>https://ra-matina.ru/?vendor_code=TMB009</v>
      </c>
      <c r="D35" s="53" t="s">
        <v>28</v>
      </c>
      <c r="E35" s="22" t="s">
        <v>1913</v>
      </c>
      <c r="F35" s="186" t="s">
        <v>15</v>
      </c>
      <c r="G35" s="20" t="s">
        <v>1926</v>
      </c>
    </row>
    <row r="36" ht="13.5" customHeight="1">
      <c r="A36" s="53" t="s">
        <v>1969</v>
      </c>
      <c r="B36" s="153" t="s">
        <v>1968</v>
      </c>
      <c r="C36" s="17" t="str">
        <f>HYPERLINK("https://ra-matina.ru/?vendor_code=TMB010")</f>
        <v>https://ra-matina.ru/?vendor_code=TMB010</v>
      </c>
      <c r="D36" s="53" t="s">
        <v>1916</v>
      </c>
      <c r="E36" s="22" t="s">
        <v>1913</v>
      </c>
      <c r="F36" s="186" t="s">
        <v>15</v>
      </c>
      <c r="G36" s="20" t="s">
        <v>1926</v>
      </c>
    </row>
    <row r="37" ht="13.5" customHeight="1">
      <c r="A37" s="53" t="s">
        <v>1970</v>
      </c>
      <c r="B37" s="153" t="s">
        <v>1971</v>
      </c>
      <c r="C37" s="17" t="str">
        <f>HYPERLINK("https://ra-matina.ru/?vendor_code=TMB011")</f>
        <v>https://ra-matina.ru/?vendor_code=TMB011</v>
      </c>
      <c r="D37" s="53" t="s">
        <v>28</v>
      </c>
      <c r="E37" s="22" t="s">
        <v>1913</v>
      </c>
      <c r="F37" s="172" t="s">
        <v>15</v>
      </c>
      <c r="G37" s="20" t="s">
        <v>1926</v>
      </c>
    </row>
    <row r="38" ht="13.5" customHeight="1">
      <c r="A38" s="53" t="s">
        <v>1972</v>
      </c>
      <c r="B38" s="153" t="s">
        <v>1971</v>
      </c>
      <c r="C38" s="17" t="str">
        <f>HYPERLINK("https://ra-matina.ru/?vendor_code=TMB012")</f>
        <v>https://ra-matina.ru/?vendor_code=TMB012</v>
      </c>
      <c r="D38" s="53" t="s">
        <v>1916</v>
      </c>
      <c r="E38" s="22" t="s">
        <v>1913</v>
      </c>
      <c r="F38" s="172" t="s">
        <v>15</v>
      </c>
      <c r="G38" s="20" t="s">
        <v>1926</v>
      </c>
    </row>
    <row r="39" ht="13.5" customHeight="1">
      <c r="A39" s="53" t="s">
        <v>1973</v>
      </c>
      <c r="B39" s="153" t="s">
        <v>1974</v>
      </c>
      <c r="C39" s="17" t="str">
        <f>HYPERLINK("https://ra-matina.ru/?vendor_code=TMB008")</f>
        <v>https://ra-matina.ru/?vendor_code=TMB008</v>
      </c>
      <c r="D39" s="53" t="s">
        <v>1376</v>
      </c>
      <c r="E39" s="22" t="s">
        <v>1913</v>
      </c>
      <c r="F39" s="172" t="s">
        <v>15</v>
      </c>
      <c r="G39" s="54" t="s">
        <v>1914</v>
      </c>
    </row>
    <row r="40" ht="13.5" customHeight="1">
      <c r="A40" s="53" t="s">
        <v>1975</v>
      </c>
      <c r="B40" s="153" t="s">
        <v>1976</v>
      </c>
      <c r="C40" s="17" t="str">
        <f>HYPERLINK("https://ra-matina.ru/?vendor_code=TMB006")</f>
        <v>https://ra-matina.ru/?vendor_code=TMB006</v>
      </c>
      <c r="D40" s="53" t="s">
        <v>1376</v>
      </c>
      <c r="E40" s="22" t="s">
        <v>1913</v>
      </c>
      <c r="F40" s="172" t="s">
        <v>15</v>
      </c>
      <c r="G40" s="54" t="s">
        <v>1914</v>
      </c>
    </row>
    <row r="41" ht="13.5" customHeight="1">
      <c r="A41" s="18" t="s">
        <v>1977</v>
      </c>
      <c r="B41" s="153" t="s">
        <v>1978</v>
      </c>
      <c r="C41" s="17" t="str">
        <f>HYPERLINK("https://ra-matina.ru/?vendor_code=TMB003")</f>
        <v>https://ra-matina.ru/?vendor_code=TMB003</v>
      </c>
      <c r="D41" s="53" t="s">
        <v>28</v>
      </c>
      <c r="E41" s="22" t="s">
        <v>1913</v>
      </c>
      <c r="F41" s="186" t="s">
        <v>15</v>
      </c>
      <c r="G41" s="20" t="s">
        <v>1926</v>
      </c>
    </row>
    <row r="42" ht="13.5" customHeight="1">
      <c r="A42" s="18" t="s">
        <v>1979</v>
      </c>
      <c r="B42" s="153" t="s">
        <v>1978</v>
      </c>
      <c r="C42" s="17" t="str">
        <f>HYPERLINK("https://ra-matina.ru/?vendor_code=TMB004")</f>
        <v>https://ra-matina.ru/?vendor_code=TMB004</v>
      </c>
      <c r="D42" s="53" t="s">
        <v>1376</v>
      </c>
      <c r="E42" s="22" t="s">
        <v>1913</v>
      </c>
      <c r="F42" s="186" t="s">
        <v>15</v>
      </c>
      <c r="G42" s="54" t="s">
        <v>1914</v>
      </c>
    </row>
    <row r="43" ht="13.5" customHeight="1">
      <c r="A43" s="18" t="s">
        <v>1980</v>
      </c>
      <c r="B43" s="153" t="s">
        <v>1981</v>
      </c>
      <c r="C43" s="17" t="str">
        <f>HYPERLINK("https://ra-matina.ru/?vendor_code=TMB001")</f>
        <v>https://ra-matina.ru/?vendor_code=TMB001</v>
      </c>
      <c r="D43" s="53" t="s">
        <v>28</v>
      </c>
      <c r="E43" s="22" t="s">
        <v>1913</v>
      </c>
      <c r="F43" s="186" t="s">
        <v>15</v>
      </c>
      <c r="G43" s="20" t="s">
        <v>1926</v>
      </c>
    </row>
    <row r="44" ht="13.5" customHeight="1">
      <c r="A44" s="18" t="s">
        <v>1982</v>
      </c>
      <c r="B44" s="153" t="s">
        <v>1981</v>
      </c>
      <c r="C44" s="17" t="str">
        <f>HYPERLINK("https://ra-matina.ru/?vendor_code=TMB002")</f>
        <v>https://ra-matina.ru/?vendor_code=TMB002</v>
      </c>
      <c r="D44" s="53" t="s">
        <v>1916</v>
      </c>
      <c r="E44" s="22" t="s">
        <v>1913</v>
      </c>
      <c r="F44" s="172" t="s">
        <v>15</v>
      </c>
      <c r="G44" s="20" t="s">
        <v>1926</v>
      </c>
    </row>
    <row r="45" ht="13.5" customHeight="1">
      <c r="A45" s="18" t="s">
        <v>1983</v>
      </c>
      <c r="B45" s="153" t="s">
        <v>1984</v>
      </c>
      <c r="C45" s="17" t="str">
        <f>HYPERLINK("https://ra-matina.ru/?vendor_code=TMB005")</f>
        <v>https://ra-matina.ru/?vendor_code=TMB005</v>
      </c>
      <c r="D45" s="53" t="s">
        <v>1376</v>
      </c>
      <c r="E45" s="22" t="s">
        <v>1913</v>
      </c>
      <c r="F45" s="172" t="s">
        <v>15</v>
      </c>
      <c r="G45" s="54" t="s">
        <v>1914</v>
      </c>
    </row>
    <row r="46" ht="13.5" customHeight="1">
      <c r="A46" s="187" t="s">
        <v>1985</v>
      </c>
      <c r="B46" s="123" t="s">
        <v>1986</v>
      </c>
      <c r="C46" s="17" t="str">
        <f>HYPERLINK("https://ra-matina.ru/?vendor_code=KRD-058-1")</f>
        <v>https://ra-matina.ru/?vendor_code=KRD-058-1</v>
      </c>
      <c r="D46" s="182" t="s">
        <v>21</v>
      </c>
      <c r="E46" s="22" t="s">
        <v>1913</v>
      </c>
      <c r="F46" s="172" t="s">
        <v>15</v>
      </c>
      <c r="G46" s="183" t="s">
        <v>1987</v>
      </c>
    </row>
    <row r="47" ht="13.5" customHeight="1">
      <c r="A47" s="187" t="s">
        <v>1988</v>
      </c>
      <c r="B47" s="123" t="s">
        <v>1986</v>
      </c>
      <c r="C47" s="17" t="str">
        <f>HYPERLINK("https://ra-matina.ru/?vendor_code=KRD-058")</f>
        <v>https://ra-matina.ru/?vendor_code=KRD-058</v>
      </c>
      <c r="D47" s="182" t="s">
        <v>28</v>
      </c>
      <c r="E47" s="22" t="s">
        <v>1913</v>
      </c>
      <c r="F47" s="172" t="s">
        <v>15</v>
      </c>
      <c r="G47" s="183" t="s">
        <v>1987</v>
      </c>
    </row>
    <row r="48" ht="13.5" customHeight="1">
      <c r="A48" s="55" t="s">
        <v>1989</v>
      </c>
      <c r="B48" s="16" t="s">
        <v>1990</v>
      </c>
      <c r="C48" s="17" t="str">
        <f>HYPERLINK("https://ra-matina.ru/?vendor_code=KRD021C2GGPS")</f>
        <v>https://ra-matina.ru/?vendor_code=KRD021C2GGPS</v>
      </c>
      <c r="D48" s="15" t="s">
        <v>1991</v>
      </c>
      <c r="E48" s="184" t="s">
        <v>1930</v>
      </c>
      <c r="F48" s="186" t="s">
        <v>15</v>
      </c>
      <c r="G48" s="21" t="s">
        <v>1812</v>
      </c>
    </row>
    <row r="49" ht="13.5" customHeight="1">
      <c r="A49" s="53" t="s">
        <v>1992</v>
      </c>
      <c r="B49" s="153" t="s">
        <v>1993</v>
      </c>
      <c r="C49" s="17" t="str">
        <f>HYPERLINK("https://ra-matina.ru/?vendor_code=TMB024")</f>
        <v>https://ra-matina.ru/?vendor_code=TMB024</v>
      </c>
      <c r="D49" s="53" t="s">
        <v>28</v>
      </c>
      <c r="E49" s="22" t="s">
        <v>1913</v>
      </c>
      <c r="F49" s="172" t="s">
        <v>15</v>
      </c>
      <c r="G49" s="20" t="s">
        <v>1926</v>
      </c>
    </row>
    <row r="50" ht="13.5" customHeight="1">
      <c r="A50" s="53" t="s">
        <v>1994</v>
      </c>
      <c r="B50" s="153" t="s">
        <v>1993</v>
      </c>
      <c r="C50" s="17" t="str">
        <f>HYPERLINK("https://ra-matina.ru/?vendor_code=TMB025")</f>
        <v>https://ra-matina.ru/?vendor_code=TMB025</v>
      </c>
      <c r="D50" s="53" t="s">
        <v>1916</v>
      </c>
      <c r="E50" s="22" t="s">
        <v>1913</v>
      </c>
      <c r="F50" s="172" t="s">
        <v>15</v>
      </c>
      <c r="G50" s="20" t="s">
        <v>1926</v>
      </c>
    </row>
    <row r="51" ht="13.5" customHeight="1">
      <c r="A51" s="187" t="s">
        <v>1995</v>
      </c>
      <c r="B51" s="123" t="s">
        <v>1996</v>
      </c>
      <c r="C51" s="17" t="str">
        <f>HYPERLINK("https://ra-matina.ru/?vendor_code=KRD-071")</f>
        <v>https://ra-matina.ru/?vendor_code=KRD-071</v>
      </c>
      <c r="D51" s="182" t="s">
        <v>28</v>
      </c>
      <c r="E51" s="22" t="s">
        <v>1913</v>
      </c>
      <c r="F51" s="172" t="s">
        <v>15</v>
      </c>
      <c r="G51" s="183" t="s">
        <v>1997</v>
      </c>
    </row>
    <row r="52" ht="13.5" customHeight="1">
      <c r="A52" s="187" t="s">
        <v>1998</v>
      </c>
      <c r="B52" s="123" t="s">
        <v>1999</v>
      </c>
      <c r="C52" s="17" t="str">
        <f>HYPERLINK("https://ra-matina.ru/?vendor_code=KRD-072")</f>
        <v>https://ra-matina.ru/?vendor_code=KRD-072</v>
      </c>
      <c r="D52" s="182" t="s">
        <v>28</v>
      </c>
      <c r="E52" s="22" t="s">
        <v>1913</v>
      </c>
      <c r="F52" s="172" t="s">
        <v>15</v>
      </c>
      <c r="G52" s="183" t="s">
        <v>1933</v>
      </c>
    </row>
    <row r="53" ht="13.5" customHeight="1">
      <c r="A53" s="187" t="s">
        <v>2000</v>
      </c>
      <c r="B53" s="123" t="s">
        <v>1999</v>
      </c>
      <c r="C53" s="17" t="str">
        <f>HYPERLINK("https://ra-matina.ru/?vendor_code=KRD-072-1")</f>
        <v>https://ra-matina.ru/?vendor_code=KRD-072-1</v>
      </c>
      <c r="D53" s="182" t="s">
        <v>21</v>
      </c>
      <c r="E53" s="22" t="s">
        <v>1913</v>
      </c>
      <c r="F53" s="172" t="s">
        <v>15</v>
      </c>
      <c r="G53" s="183" t="s">
        <v>2001</v>
      </c>
    </row>
    <row r="54" ht="13.5" customHeight="1">
      <c r="A54" s="55" t="s">
        <v>2002</v>
      </c>
      <c r="B54" s="16" t="s">
        <v>2003</v>
      </c>
      <c r="C54" s="17" t="str">
        <f>HYPERLINK("https://ra-matina.ru/?vendor_code=KRD022B1GGPS")</f>
        <v>https://ra-matina.ru/?vendor_code=KRD022B1GGPS</v>
      </c>
      <c r="D54" s="15" t="s">
        <v>21</v>
      </c>
      <c r="E54" s="184" t="s">
        <v>1930</v>
      </c>
      <c r="F54" s="172" t="s">
        <v>15</v>
      </c>
      <c r="G54" s="21" t="s">
        <v>2004</v>
      </c>
    </row>
    <row r="55" ht="13.5" customHeight="1">
      <c r="A55" s="55" t="s">
        <v>2005</v>
      </c>
      <c r="B55" s="16" t="s">
        <v>2003</v>
      </c>
      <c r="C55" s="17" t="str">
        <f>HYPERLINK("https://ra-matina.ru/?vendor_code=KRD022C1GGPS")</f>
        <v>https://ra-matina.ru/?vendor_code=KRD022C1GGPS</v>
      </c>
      <c r="D55" s="15" t="s">
        <v>1376</v>
      </c>
      <c r="E55" s="184" t="s">
        <v>1930</v>
      </c>
      <c r="F55" s="172" t="s">
        <v>15</v>
      </c>
      <c r="G55" s="21" t="s">
        <v>1812</v>
      </c>
    </row>
    <row r="56" ht="13.5" customHeight="1">
      <c r="A56" s="53" t="s">
        <v>2006</v>
      </c>
      <c r="B56" s="136" t="s">
        <v>2007</v>
      </c>
      <c r="C56" s="17" t="str">
        <f>HYPERLINK("https://ra-matina.ru/?vendor_code=art_0003")</f>
        <v>https://ra-matina.ru/?vendor_code=art_0003</v>
      </c>
      <c r="D56" s="15" t="s">
        <v>1376</v>
      </c>
      <c r="E56" s="184" t="s">
        <v>1930</v>
      </c>
      <c r="F56" s="172" t="s">
        <v>15</v>
      </c>
      <c r="G56" s="21">
        <v>15300.0</v>
      </c>
    </row>
    <row r="57" ht="13.5" customHeight="1">
      <c r="A57" s="187" t="s">
        <v>2008</v>
      </c>
      <c r="B57" s="123" t="s">
        <v>2009</v>
      </c>
      <c r="C57" s="17" t="str">
        <f>HYPERLINK("https://ra-matina.ru/?vendor_code=KRD-078")</f>
        <v>https://ra-matina.ru/?vendor_code=KRD-078</v>
      </c>
      <c r="D57" s="182" t="s">
        <v>28</v>
      </c>
      <c r="E57" s="22" t="s">
        <v>1913</v>
      </c>
      <c r="F57" s="172" t="s">
        <v>15</v>
      </c>
      <c r="G57" s="183" t="s">
        <v>2010</v>
      </c>
    </row>
    <row r="58" ht="13.5" customHeight="1">
      <c r="A58" s="187" t="s">
        <v>2011</v>
      </c>
      <c r="B58" s="123" t="s">
        <v>2012</v>
      </c>
      <c r="C58" s="17" t="str">
        <f>HYPERLINK("https://ra-matina.ru/?vendor_code=KRD-079")</f>
        <v>https://ra-matina.ru/?vendor_code=KRD-079</v>
      </c>
      <c r="D58" s="182" t="s">
        <v>28</v>
      </c>
      <c r="E58" s="22" t="s">
        <v>1913</v>
      </c>
      <c r="F58" s="172" t="s">
        <v>15</v>
      </c>
      <c r="G58" s="183" t="s">
        <v>2010</v>
      </c>
    </row>
    <row r="59" ht="13.5" customHeight="1">
      <c r="A59" s="187" t="s">
        <v>2013</v>
      </c>
      <c r="B59" s="123" t="s">
        <v>2012</v>
      </c>
      <c r="C59" s="17" t="str">
        <f>HYPERLINK("https://ra-matina.ru/?vendor_code=KRD-079-1")</f>
        <v>https://ra-matina.ru/?vendor_code=KRD-079-1</v>
      </c>
      <c r="D59" s="182" t="s">
        <v>21</v>
      </c>
      <c r="E59" s="22" t="s">
        <v>1913</v>
      </c>
      <c r="F59" s="172" t="s">
        <v>15</v>
      </c>
      <c r="G59" s="183" t="s">
        <v>1933</v>
      </c>
    </row>
    <row r="60" ht="13.5" customHeight="1">
      <c r="A60" s="187" t="s">
        <v>2014</v>
      </c>
      <c r="B60" s="123" t="s">
        <v>2015</v>
      </c>
      <c r="C60" s="17" t="str">
        <f>HYPERLINK("https://ra-matina.ru/?vendor_code=KRD-080")</f>
        <v>https://ra-matina.ru/?vendor_code=KRD-080</v>
      </c>
      <c r="D60" s="182" t="s">
        <v>28</v>
      </c>
      <c r="E60" s="22" t="s">
        <v>1913</v>
      </c>
      <c r="F60" s="172" t="s">
        <v>15</v>
      </c>
      <c r="G60" s="183" t="s">
        <v>2010</v>
      </c>
    </row>
    <row r="61" ht="13.5" customHeight="1">
      <c r="A61" s="55" t="s">
        <v>2016</v>
      </c>
      <c r="B61" s="16" t="s">
        <v>2017</v>
      </c>
      <c r="C61" s="17" t="str">
        <f>HYPERLINK("https://ra-matina.ru/?vendor_code=KRD027B1GGPS")</f>
        <v>https://ra-matina.ru/?vendor_code=KRD027B1GGPS</v>
      </c>
      <c r="D61" s="15" t="s">
        <v>21</v>
      </c>
      <c r="E61" s="184" t="s">
        <v>1930</v>
      </c>
      <c r="F61" s="172" t="s">
        <v>15</v>
      </c>
      <c r="G61" s="21" t="s">
        <v>2004</v>
      </c>
    </row>
    <row r="62" ht="13.5" customHeight="1">
      <c r="A62" s="188" t="s">
        <v>2018</v>
      </c>
      <c r="B62" s="189" t="s">
        <v>2019</v>
      </c>
      <c r="C62" s="78" t="str">
        <f>HYPERLINK("https://ra-matina.ru/?vendor_code=KRD-084")</f>
        <v>https://ra-matina.ru/?vendor_code=KRD-084</v>
      </c>
      <c r="D62" s="76" t="s">
        <v>21</v>
      </c>
      <c r="E62" s="79" t="s">
        <v>1913</v>
      </c>
      <c r="F62" s="190" t="s">
        <v>15</v>
      </c>
      <c r="G62" s="191" t="s">
        <v>1933</v>
      </c>
    </row>
    <row r="63" ht="13.5" customHeight="1">
      <c r="A63" s="55" t="s">
        <v>2020</v>
      </c>
      <c r="B63" s="16" t="s">
        <v>2021</v>
      </c>
      <c r="C63" s="17" t="str">
        <f>HYPERLINK("https://ra-matina.ru/?vendor_code=KRD023C1GGPS")</f>
        <v>https://ra-matina.ru/?vendor_code=KRD023C1GGPS</v>
      </c>
      <c r="D63" s="15" t="s">
        <v>1376</v>
      </c>
      <c r="E63" s="184" t="s">
        <v>1930</v>
      </c>
      <c r="F63" s="172" t="s">
        <v>15</v>
      </c>
      <c r="G63" s="21" t="s">
        <v>1812</v>
      </c>
    </row>
    <row r="64" ht="13.5" customHeight="1">
      <c r="A64" s="55" t="s">
        <v>2022</v>
      </c>
      <c r="B64" s="16" t="s">
        <v>2021</v>
      </c>
      <c r="C64" s="17" t="str">
        <f>HYPERLINK("https://ra-matina.ru/?vendor_code=KRD023B1GGPS")</f>
        <v>https://ra-matina.ru/?vendor_code=KRD023B1GGPS</v>
      </c>
      <c r="D64" s="15" t="s">
        <v>21</v>
      </c>
      <c r="E64" s="184" t="s">
        <v>1930</v>
      </c>
      <c r="F64" s="172" t="s">
        <v>15</v>
      </c>
      <c r="G64" s="21" t="s">
        <v>2004</v>
      </c>
    </row>
    <row r="65" ht="13.5" customHeight="1">
      <c r="A65" s="185" t="s">
        <v>2023</v>
      </c>
      <c r="B65" s="16" t="s">
        <v>2021</v>
      </c>
      <c r="C65" s="17" t="str">
        <f>HYPERLINK("https://ra-matina.ru/?vendor_code=KRD023A1GGPS")</f>
        <v>https://ra-matina.ru/?vendor_code=KRD023A1GGPS</v>
      </c>
      <c r="D65" s="15" t="s">
        <v>28</v>
      </c>
      <c r="E65" s="184" t="s">
        <v>1930</v>
      </c>
      <c r="F65" s="186" t="s">
        <v>15</v>
      </c>
      <c r="G65" s="192" t="s">
        <v>2024</v>
      </c>
    </row>
    <row r="66" ht="13.5" customHeight="1">
      <c r="A66" s="185" t="s">
        <v>2025</v>
      </c>
      <c r="B66" s="16" t="s">
        <v>2026</v>
      </c>
      <c r="C66" s="17" t="str">
        <f>HYPERLINK("https://ra-matina.ru/?vendor_code=KRD014C2GGPS")</f>
        <v>https://ra-matina.ru/?vendor_code=KRD014C2GGPS</v>
      </c>
      <c r="D66" s="15" t="s">
        <v>1991</v>
      </c>
      <c r="E66" s="184" t="s">
        <v>1930</v>
      </c>
      <c r="F66" s="186" t="s">
        <v>15</v>
      </c>
      <c r="G66" s="192" t="s">
        <v>1812</v>
      </c>
    </row>
    <row r="67" ht="13.5" customHeight="1">
      <c r="A67" s="172" t="s">
        <v>2027</v>
      </c>
      <c r="B67" s="153" t="s">
        <v>2028</v>
      </c>
      <c r="C67" s="17" t="str">
        <f>HYPERLINK("https://ra-matina.ru/?vendor_code=TMB022")</f>
        <v>https://ra-matina.ru/?vendor_code=TMB022</v>
      </c>
      <c r="D67" s="53" t="s">
        <v>28</v>
      </c>
      <c r="E67" s="22" t="s">
        <v>1913</v>
      </c>
      <c r="F67" s="172" t="s">
        <v>15</v>
      </c>
      <c r="G67" s="193" t="s">
        <v>1914</v>
      </c>
    </row>
    <row r="68" ht="13.5" customHeight="1">
      <c r="A68" s="172" t="s">
        <v>2029</v>
      </c>
      <c r="B68" s="153" t="s">
        <v>2028</v>
      </c>
      <c r="C68" s="17" t="str">
        <f>HYPERLINK("https://ra-matina.ru/?vendor_code=TMB023")</f>
        <v>https://ra-matina.ru/?vendor_code=TMB023</v>
      </c>
      <c r="D68" s="53" t="s">
        <v>1916</v>
      </c>
      <c r="E68" s="22" t="s">
        <v>1913</v>
      </c>
      <c r="F68" s="172" t="s">
        <v>15</v>
      </c>
      <c r="G68" s="193" t="s">
        <v>1914</v>
      </c>
    </row>
    <row r="69" ht="13.5" customHeight="1">
      <c r="A69" s="172" t="s">
        <v>2030</v>
      </c>
      <c r="B69" s="153" t="s">
        <v>2031</v>
      </c>
      <c r="C69" s="17" t="str">
        <f>HYPERLINK("https://ra-matina.ru/?vendor_code=TMB028")</f>
        <v>https://ra-matina.ru/?vendor_code=TMB028</v>
      </c>
      <c r="D69" s="53" t="s">
        <v>28</v>
      </c>
      <c r="E69" s="22" t="s">
        <v>1913</v>
      </c>
      <c r="F69" s="172" t="s">
        <v>15</v>
      </c>
      <c r="G69" s="194" t="s">
        <v>1926</v>
      </c>
    </row>
    <row r="70" ht="13.5" customHeight="1">
      <c r="A70" s="181" t="s">
        <v>2032</v>
      </c>
      <c r="B70" s="123" t="s">
        <v>2033</v>
      </c>
      <c r="C70" s="17" t="str">
        <f>HYPERLINK("https://ra-matina.ru/?vendor_code=KRD-075")</f>
        <v>https://ra-matina.ru/?vendor_code=KRD-075</v>
      </c>
      <c r="D70" s="182" t="s">
        <v>21</v>
      </c>
      <c r="E70" s="22" t="s">
        <v>1913</v>
      </c>
      <c r="F70" s="172" t="s">
        <v>15</v>
      </c>
      <c r="G70" s="195" t="s">
        <v>2001</v>
      </c>
    </row>
    <row r="71" ht="13.5" customHeight="1">
      <c r="A71" s="181" t="s">
        <v>2034</v>
      </c>
      <c r="B71" s="123" t="s">
        <v>2033</v>
      </c>
      <c r="C71" s="17" t="str">
        <f>HYPERLINK("https://ra-matina.ru/?vendor_code=KRD-075-1")</f>
        <v>https://ra-matina.ru/?vendor_code=KRD-075-1</v>
      </c>
      <c r="D71" s="182" t="s">
        <v>1376</v>
      </c>
      <c r="E71" s="22" t="s">
        <v>1913</v>
      </c>
      <c r="F71" s="172" t="s">
        <v>15</v>
      </c>
      <c r="G71" s="195" t="s">
        <v>1935</v>
      </c>
    </row>
    <row r="72" ht="13.5" customHeight="1">
      <c r="A72" s="181" t="s">
        <v>2035</v>
      </c>
      <c r="B72" s="123" t="s">
        <v>2036</v>
      </c>
      <c r="C72" s="17" t="str">
        <f>HYPERLINK("https://ra-matina.ru/?vendor_code=KRD-077")</f>
        <v>https://ra-matina.ru/?vendor_code=KRD-077</v>
      </c>
      <c r="D72" s="182" t="s">
        <v>28</v>
      </c>
      <c r="E72" s="22" t="s">
        <v>1913</v>
      </c>
      <c r="F72" s="172" t="s">
        <v>15</v>
      </c>
      <c r="G72" s="195" t="s">
        <v>1957</v>
      </c>
    </row>
    <row r="73" ht="13.5" customHeight="1">
      <c r="A73" s="181" t="s">
        <v>2037</v>
      </c>
      <c r="B73" s="123" t="s">
        <v>2036</v>
      </c>
      <c r="C73" s="17" t="str">
        <f>HYPERLINK("https://ra-matina.ru/?vendor_code=KRD-077-1")</f>
        <v>https://ra-matina.ru/?vendor_code=KRD-077-1</v>
      </c>
      <c r="D73" s="182" t="s">
        <v>21</v>
      </c>
      <c r="E73" s="22" t="s">
        <v>1913</v>
      </c>
      <c r="F73" s="172" t="s">
        <v>15</v>
      </c>
      <c r="G73" s="195" t="s">
        <v>1933</v>
      </c>
    </row>
    <row r="74" ht="13.5" customHeight="1">
      <c r="A74" s="181" t="s">
        <v>2038</v>
      </c>
      <c r="B74" s="123" t="s">
        <v>2036</v>
      </c>
      <c r="C74" s="17" t="str">
        <f>HYPERLINK("https://ra-matina.ru/?vendor_code=KRD-077-2")</f>
        <v>https://ra-matina.ru/?vendor_code=KRD-077-2</v>
      </c>
      <c r="D74" s="182" t="s">
        <v>1376</v>
      </c>
      <c r="E74" s="22" t="s">
        <v>1913</v>
      </c>
      <c r="F74" s="172" t="s">
        <v>15</v>
      </c>
      <c r="G74" s="195" t="s">
        <v>2001</v>
      </c>
    </row>
    <row r="75" ht="13.5" customHeight="1">
      <c r="A75" s="172" t="s">
        <v>2039</v>
      </c>
      <c r="B75" s="153" t="s">
        <v>2040</v>
      </c>
      <c r="C75" s="17" t="str">
        <f>HYPERLINK("https://ra-matina.ru/?vendor_code=TMB018")</f>
        <v>https://ra-matina.ru/?vendor_code=TMB018</v>
      </c>
      <c r="D75" s="53" t="s">
        <v>28</v>
      </c>
      <c r="E75" s="22" t="s">
        <v>1913</v>
      </c>
      <c r="F75" s="172" t="s">
        <v>15</v>
      </c>
      <c r="G75" s="193" t="s">
        <v>1914</v>
      </c>
    </row>
    <row r="76" ht="13.5" customHeight="1">
      <c r="A76" s="172" t="s">
        <v>2041</v>
      </c>
      <c r="B76" s="153" t="s">
        <v>2040</v>
      </c>
      <c r="C76" s="17" t="str">
        <f>HYPERLINK("https://ra-matina.ru/?vendor_code=TMB019")</f>
        <v>https://ra-matina.ru/?vendor_code=TMB019</v>
      </c>
      <c r="D76" s="53" t="s">
        <v>1916</v>
      </c>
      <c r="E76" s="22" t="s">
        <v>1913</v>
      </c>
      <c r="F76" s="172" t="s">
        <v>15</v>
      </c>
      <c r="G76" s="193" t="s">
        <v>1914</v>
      </c>
    </row>
    <row r="77" ht="13.5" customHeight="1">
      <c r="A77" s="185" t="s">
        <v>2042</v>
      </c>
      <c r="B77" s="16" t="s">
        <v>2043</v>
      </c>
      <c r="C77" s="17" t="str">
        <f>HYPERLINK("https://ra-matina.ru/?vendor_code=KRD012B2GGPS")</f>
        <v>https://ra-matina.ru/?vendor_code=KRD012B2GGPS</v>
      </c>
      <c r="D77" s="15" t="s">
        <v>302</v>
      </c>
      <c r="E77" s="184" t="s">
        <v>1930</v>
      </c>
      <c r="F77" s="172" t="s">
        <v>15</v>
      </c>
      <c r="G77" s="192" t="s">
        <v>2044</v>
      </c>
    </row>
    <row r="78" ht="13.5" customHeight="1">
      <c r="A78" s="172" t="s">
        <v>2045</v>
      </c>
      <c r="B78" s="153" t="s">
        <v>2046</v>
      </c>
      <c r="C78" s="17" t="str">
        <f>HYPERLINK("https://ra-matina.ru/?vendor_code=TMB013")</f>
        <v>https://ra-matina.ru/?vendor_code=TMB013</v>
      </c>
      <c r="D78" s="53" t="s">
        <v>28</v>
      </c>
      <c r="E78" s="22" t="s">
        <v>1913</v>
      </c>
      <c r="F78" s="172" t="s">
        <v>15</v>
      </c>
      <c r="G78" s="194" t="s">
        <v>1926</v>
      </c>
    </row>
    <row r="79" ht="13.5" customHeight="1">
      <c r="A79" s="181" t="s">
        <v>2047</v>
      </c>
      <c r="B79" s="123" t="s">
        <v>2048</v>
      </c>
      <c r="C79" s="17" t="str">
        <f>HYPERLINK("https://ra-matina.ru/?vendor_code=KRD-064")</f>
        <v>https://ra-matina.ru/?vendor_code=KRD-064</v>
      </c>
      <c r="D79" s="182" t="s">
        <v>21</v>
      </c>
      <c r="E79" s="22" t="s">
        <v>1913</v>
      </c>
      <c r="F79" s="172" t="s">
        <v>15</v>
      </c>
      <c r="G79" s="195" t="s">
        <v>1922</v>
      </c>
    </row>
    <row r="80" ht="13.5" customHeight="1">
      <c r="A80" s="181" t="s">
        <v>2049</v>
      </c>
      <c r="B80" s="123" t="s">
        <v>2050</v>
      </c>
      <c r="C80" s="17" t="str">
        <f>HYPERLINK("https://ra-matina.ru/?vendor_code=KRD-065")</f>
        <v>https://ra-matina.ru/?vendor_code=KRD-065</v>
      </c>
      <c r="D80" s="182" t="s">
        <v>28</v>
      </c>
      <c r="E80" s="22" t="s">
        <v>1913</v>
      </c>
      <c r="F80" s="172" t="s">
        <v>15</v>
      </c>
      <c r="G80" s="195" t="s">
        <v>1933</v>
      </c>
    </row>
    <row r="81" ht="13.5" customHeight="1">
      <c r="A81" s="181" t="s">
        <v>2051</v>
      </c>
      <c r="B81" s="123" t="s">
        <v>2050</v>
      </c>
      <c r="C81" s="17" t="str">
        <f>HYPERLINK("https://ra-matina.ru/?vendor_code=KRD-065-1")</f>
        <v>https://ra-matina.ru/?vendor_code=KRD-065-1</v>
      </c>
      <c r="D81" s="182" t="s">
        <v>21</v>
      </c>
      <c r="E81" s="22" t="s">
        <v>1913</v>
      </c>
      <c r="F81" s="172" t="s">
        <v>15</v>
      </c>
      <c r="G81" s="195" t="s">
        <v>1933</v>
      </c>
    </row>
    <row r="82" ht="13.5" customHeight="1">
      <c r="A82" s="181" t="s">
        <v>2052</v>
      </c>
      <c r="B82" s="123" t="s">
        <v>2053</v>
      </c>
      <c r="C82" s="17" t="str">
        <f t="shared" ref="C82:C83" si="1">HYPERLINK("https://ra-matina.ru/?vendor_code=KRD-082")</f>
        <v>https://ra-matina.ru/?vendor_code=KRD-082</v>
      </c>
      <c r="D82" s="182" t="s">
        <v>21</v>
      </c>
      <c r="E82" s="22" t="s">
        <v>1913</v>
      </c>
      <c r="F82" s="172" t="s">
        <v>15</v>
      </c>
      <c r="G82" s="195" t="s">
        <v>1933</v>
      </c>
    </row>
    <row r="83" ht="13.5" customHeight="1">
      <c r="A83" s="181" t="s">
        <v>2052</v>
      </c>
      <c r="B83" s="123" t="s">
        <v>2053</v>
      </c>
      <c r="C83" s="17" t="str">
        <f t="shared" si="1"/>
        <v>https://ra-matina.ru/?vendor_code=KRD-082</v>
      </c>
      <c r="D83" s="182" t="s">
        <v>1376</v>
      </c>
      <c r="E83" s="22" t="s">
        <v>1913</v>
      </c>
      <c r="F83" s="172" t="s">
        <v>15</v>
      </c>
      <c r="G83" s="195" t="s">
        <v>2054</v>
      </c>
    </row>
    <row r="84" ht="13.5" customHeight="1">
      <c r="A84" s="181" t="s">
        <v>2055</v>
      </c>
      <c r="B84" s="123" t="s">
        <v>2056</v>
      </c>
      <c r="C84" s="17" t="str">
        <f>HYPERLINK("https://ra-matina.ru/?vendor_code=KRD-066")</f>
        <v>https://ra-matina.ru/?vendor_code=KRD-066</v>
      </c>
      <c r="D84" s="182" t="s">
        <v>28</v>
      </c>
      <c r="E84" s="22" t="s">
        <v>1913</v>
      </c>
      <c r="F84" s="172" t="s">
        <v>15</v>
      </c>
      <c r="G84" s="195" t="s">
        <v>1922</v>
      </c>
    </row>
    <row r="85" ht="13.5" customHeight="1">
      <c r="A85" s="181" t="s">
        <v>2057</v>
      </c>
      <c r="B85" s="123" t="s">
        <v>2056</v>
      </c>
      <c r="C85" s="17" t="str">
        <f>HYPERLINK("https://ra-matina.ru/?vendor_code=KRD-066-1")</f>
        <v>https://ra-matina.ru/?vendor_code=KRD-066-1</v>
      </c>
      <c r="D85" s="182" t="s">
        <v>21</v>
      </c>
      <c r="E85" s="22" t="s">
        <v>1913</v>
      </c>
      <c r="F85" s="172" t="s">
        <v>15</v>
      </c>
      <c r="G85" s="195" t="s">
        <v>1922</v>
      </c>
    </row>
    <row r="86" ht="13.5" customHeight="1">
      <c r="A86" s="181" t="s">
        <v>2058</v>
      </c>
      <c r="B86" s="123" t="s">
        <v>2059</v>
      </c>
      <c r="C86" s="17" t="str">
        <f>HYPERLINK("https://ra-matina.ru/?vendor_code=KRD-067")</f>
        <v>https://ra-matina.ru/?vendor_code=KRD-067</v>
      </c>
      <c r="D86" s="182" t="s">
        <v>28</v>
      </c>
      <c r="E86" s="22" t="s">
        <v>1913</v>
      </c>
      <c r="F86" s="172" t="s">
        <v>15</v>
      </c>
      <c r="G86" s="195" t="s">
        <v>2001</v>
      </c>
    </row>
    <row r="87" ht="13.5" customHeight="1">
      <c r="A87" s="181" t="s">
        <v>2060</v>
      </c>
      <c r="B87" s="123" t="s">
        <v>2059</v>
      </c>
      <c r="C87" s="17" t="str">
        <f>HYPERLINK("https://ra-matina.ru/?vendor_code=KRD-067-1")</f>
        <v>https://ra-matina.ru/?vendor_code=KRD-067-1</v>
      </c>
      <c r="D87" s="182" t="s">
        <v>21</v>
      </c>
      <c r="E87" s="22" t="s">
        <v>1913</v>
      </c>
      <c r="F87" s="172" t="s">
        <v>15</v>
      </c>
      <c r="G87" s="195" t="s">
        <v>2001</v>
      </c>
    </row>
    <row r="88" ht="13.5" customHeight="1">
      <c r="A88" s="181" t="s">
        <v>2061</v>
      </c>
      <c r="B88" s="123" t="s">
        <v>2062</v>
      </c>
      <c r="C88" s="17" t="str">
        <f>HYPERLINK("https://ra-matina.ru/?vendor_code=KRD-068")</f>
        <v>https://ra-matina.ru/?vendor_code=KRD-068</v>
      </c>
      <c r="D88" s="182" t="s">
        <v>28</v>
      </c>
      <c r="E88" s="22" t="s">
        <v>1913</v>
      </c>
      <c r="F88" s="172" t="s">
        <v>15</v>
      </c>
      <c r="G88" s="195" t="s">
        <v>1922</v>
      </c>
    </row>
    <row r="89" ht="13.5" customHeight="1">
      <c r="A89" s="181" t="s">
        <v>2063</v>
      </c>
      <c r="B89" s="123" t="s">
        <v>2062</v>
      </c>
      <c r="C89" s="17" t="str">
        <f>HYPERLINK("https://ra-matina.ru/?vendor_code=KRD-068-1")</f>
        <v>https://ra-matina.ru/?vendor_code=KRD-068-1</v>
      </c>
      <c r="D89" s="182" t="s">
        <v>21</v>
      </c>
      <c r="E89" s="22" t="s">
        <v>1913</v>
      </c>
      <c r="F89" s="172" t="s">
        <v>15</v>
      </c>
      <c r="G89" s="195" t="s">
        <v>2001</v>
      </c>
    </row>
    <row r="90" ht="13.5" customHeight="1">
      <c r="A90" s="181" t="s">
        <v>2064</v>
      </c>
      <c r="B90" s="123" t="s">
        <v>2065</v>
      </c>
      <c r="C90" s="17" t="str">
        <f>HYPERLINK("https://ra-matina.ru/?vendor_code=KRD-069")</f>
        <v>https://ra-matina.ru/?vendor_code=KRD-069</v>
      </c>
      <c r="D90" s="182" t="s">
        <v>28</v>
      </c>
      <c r="E90" s="22" t="s">
        <v>1913</v>
      </c>
      <c r="F90" s="172" t="s">
        <v>15</v>
      </c>
      <c r="G90" s="195" t="s">
        <v>1957</v>
      </c>
    </row>
    <row r="91" ht="13.5" customHeight="1">
      <c r="A91" s="181" t="s">
        <v>2066</v>
      </c>
      <c r="B91" s="123" t="s">
        <v>2065</v>
      </c>
      <c r="C91" s="17" t="str">
        <f>HYPERLINK("https://ra-matina.ru/?vendor_code=KRD-069-1")</f>
        <v>https://ra-matina.ru/?vendor_code=KRD-069-1</v>
      </c>
      <c r="D91" s="182" t="s">
        <v>21</v>
      </c>
      <c r="E91" s="22" t="s">
        <v>1913</v>
      </c>
      <c r="F91" s="172" t="s">
        <v>15</v>
      </c>
      <c r="G91" s="195" t="s">
        <v>2001</v>
      </c>
    </row>
    <row r="92" ht="13.5" customHeight="1">
      <c r="A92" s="185" t="s">
        <v>2067</v>
      </c>
      <c r="B92" s="16" t="s">
        <v>2068</v>
      </c>
      <c r="C92" s="17" t="str">
        <f>HYPERLINK("https://ra-matina.ru/?vendor_code=KRD028C1GGPS")</f>
        <v>https://ra-matina.ru/?vendor_code=KRD028C1GGPS</v>
      </c>
      <c r="D92" s="15" t="s">
        <v>1376</v>
      </c>
      <c r="E92" s="184" t="s">
        <v>1930</v>
      </c>
      <c r="F92" s="172" t="s">
        <v>15</v>
      </c>
      <c r="G92" s="192" t="s">
        <v>1774</v>
      </c>
    </row>
    <row r="93" ht="13.5" customHeight="1">
      <c r="A93" s="185" t="s">
        <v>2069</v>
      </c>
      <c r="B93" s="16" t="s">
        <v>2070</v>
      </c>
      <c r="C93" s="17" t="str">
        <f>HYPERLINK("https://ra-matina.ru/?vendor_code=KRD008C1GGPS")</f>
        <v>https://ra-matina.ru/?vendor_code=KRD008C1GGPS</v>
      </c>
      <c r="D93" s="15" t="s">
        <v>1376</v>
      </c>
      <c r="E93" s="184" t="s">
        <v>1930</v>
      </c>
      <c r="F93" s="172" t="s">
        <v>15</v>
      </c>
      <c r="G93" s="192" t="s">
        <v>1774</v>
      </c>
    </row>
    <row r="94" ht="13.5" customHeight="1">
      <c r="A94" s="172" t="s">
        <v>2071</v>
      </c>
      <c r="B94" s="136" t="s">
        <v>2072</v>
      </c>
      <c r="C94" s="17" t="str">
        <f>HYPERLINK("https://ra-matina.ru/?vendor_code=art_0021")</f>
        <v>https://ra-matina.ru/?vendor_code=art_0021</v>
      </c>
      <c r="D94" s="15" t="s">
        <v>1376</v>
      </c>
      <c r="E94" s="184" t="s">
        <v>1930</v>
      </c>
      <c r="F94" s="172" t="s">
        <v>15</v>
      </c>
      <c r="G94" s="192">
        <v>16000.0</v>
      </c>
    </row>
    <row r="95" ht="13.5" customHeight="1">
      <c r="A95" s="172" t="s">
        <v>2073</v>
      </c>
      <c r="B95" s="136" t="s">
        <v>2074</v>
      </c>
      <c r="C95" s="17" t="str">
        <f>HYPERLINK("https://ra-matina.ru/?vendor_code=art_0017")</f>
        <v>https://ra-matina.ru/?vendor_code=art_0017</v>
      </c>
      <c r="D95" s="15" t="s">
        <v>21</v>
      </c>
      <c r="E95" s="184" t="s">
        <v>1930</v>
      </c>
      <c r="F95" s="186" t="s">
        <v>15</v>
      </c>
      <c r="G95" s="192">
        <v>16000.0</v>
      </c>
    </row>
    <row r="96" ht="13.5" customHeight="1">
      <c r="A96" s="172" t="s">
        <v>2075</v>
      </c>
      <c r="B96" s="136" t="s">
        <v>2074</v>
      </c>
      <c r="C96" s="17" t="str">
        <f>HYPERLINK("https://ra-matina.ru/?vendor_code=art_0018")</f>
        <v>https://ra-matina.ru/?vendor_code=art_0018</v>
      </c>
      <c r="D96" s="15" t="s">
        <v>1376</v>
      </c>
      <c r="E96" s="184" t="s">
        <v>1930</v>
      </c>
      <c r="F96" s="186" t="s">
        <v>15</v>
      </c>
      <c r="G96" s="192">
        <v>16000.0</v>
      </c>
    </row>
    <row r="97" ht="13.5" customHeight="1">
      <c r="A97" s="172" t="s">
        <v>2076</v>
      </c>
      <c r="B97" s="136" t="s">
        <v>2077</v>
      </c>
      <c r="C97" s="17" t="str">
        <f>HYPERLINK("https://ra-matina.ru/?vendor_code=art_0015")</f>
        <v>https://ra-matina.ru/?vendor_code=art_0015</v>
      </c>
      <c r="D97" s="15" t="s">
        <v>1376</v>
      </c>
      <c r="E97" s="184" t="s">
        <v>1930</v>
      </c>
      <c r="F97" s="172" t="s">
        <v>15</v>
      </c>
      <c r="G97" s="192">
        <v>16000.0</v>
      </c>
    </row>
    <row r="98" ht="13.5" customHeight="1">
      <c r="A98" s="172" t="s">
        <v>2078</v>
      </c>
      <c r="B98" s="136" t="s">
        <v>2079</v>
      </c>
      <c r="C98" s="17" t="str">
        <f>HYPERLINK("https://ra-matina.ru/?vendor_code=art_0011")</f>
        <v>https://ra-matina.ru/?vendor_code=art_0011</v>
      </c>
      <c r="D98" s="15" t="s">
        <v>21</v>
      </c>
      <c r="E98" s="184" t="s">
        <v>1930</v>
      </c>
      <c r="F98" s="186" t="s">
        <v>15</v>
      </c>
      <c r="G98" s="192">
        <v>16000.0</v>
      </c>
    </row>
    <row r="99" ht="13.5" customHeight="1">
      <c r="A99" s="172" t="s">
        <v>2080</v>
      </c>
      <c r="B99" s="136" t="s">
        <v>2079</v>
      </c>
      <c r="C99" s="17" t="str">
        <f>HYPERLINK("https://ra-matina.ru/?vendor_code=art_0012")</f>
        <v>https://ra-matina.ru/?vendor_code=art_0012</v>
      </c>
      <c r="D99" s="15" t="s">
        <v>1376</v>
      </c>
      <c r="E99" s="184" t="s">
        <v>1930</v>
      </c>
      <c r="F99" s="186" t="s">
        <v>15</v>
      </c>
      <c r="G99" s="192">
        <v>16000.0</v>
      </c>
    </row>
    <row r="100" ht="13.5" customHeight="1">
      <c r="A100" s="172" t="s">
        <v>2081</v>
      </c>
      <c r="B100" s="153" t="s">
        <v>2082</v>
      </c>
      <c r="C100" s="17" t="str">
        <f>HYPERLINK("https://ra-matina.ru/?vendor_code=TMB026")</f>
        <v>https://ra-matina.ru/?vendor_code=TMB026</v>
      </c>
      <c r="D100" s="53" t="s">
        <v>28</v>
      </c>
      <c r="E100" s="22" t="s">
        <v>1913</v>
      </c>
      <c r="F100" s="172" t="s">
        <v>15</v>
      </c>
      <c r="G100" s="194" t="s">
        <v>1926</v>
      </c>
    </row>
    <row r="101" ht="13.5" customHeight="1">
      <c r="A101" s="172" t="s">
        <v>2083</v>
      </c>
      <c r="B101" s="153" t="s">
        <v>2082</v>
      </c>
      <c r="C101" s="17" t="str">
        <f>HYPERLINK("https://ra-matina.ru/?vendor_code=TMB027")</f>
        <v>https://ra-matina.ru/?vendor_code=TMB027</v>
      </c>
      <c r="D101" s="53" t="s">
        <v>1916</v>
      </c>
      <c r="E101" s="22" t="s">
        <v>1913</v>
      </c>
      <c r="F101" s="172" t="s">
        <v>15</v>
      </c>
      <c r="G101" s="194" t="s">
        <v>1926</v>
      </c>
    </row>
    <row r="102" ht="13.5" customHeight="1">
      <c r="A102" s="172" t="s">
        <v>2084</v>
      </c>
      <c r="B102" s="136" t="s">
        <v>2085</v>
      </c>
      <c r="C102" s="17" t="str">
        <f>HYPERLINK("https://ra-matina.ru/?vendor_code=art_0027")</f>
        <v>https://ra-matina.ru/?vendor_code=art_0027</v>
      </c>
      <c r="D102" s="15" t="s">
        <v>1376</v>
      </c>
      <c r="E102" s="184" t="s">
        <v>1930</v>
      </c>
      <c r="F102" s="172" t="s">
        <v>15</v>
      </c>
      <c r="G102" s="192">
        <v>15500.0</v>
      </c>
    </row>
    <row r="103" ht="15.75" customHeight="1">
      <c r="B103" s="196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G1"/>
    <mergeCell ref="B2:G2"/>
    <mergeCell ref="B4:G4"/>
    <mergeCell ref="A6:G6"/>
    <mergeCell ref="A7:G7"/>
  </mergeCells>
  <printOptions/>
  <pageMargins bottom="0.75" footer="0.0" header="0.0" left="0.7" right="0.7" top="0.75"/>
  <pageSetup paperSize="9" orientation="portrait"/>
  <drawing r:id="rId1"/>
</worksheet>
</file>